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4920" tabRatio="865" activeTab="2"/>
  </bookViews>
  <sheets>
    <sheet name="10千伏 线路2020年第四季度" sheetId="1" r:id="rId1"/>
    <sheet name="10千伏 线路-2021年第一季度" sheetId="2" r:id="rId2"/>
    <sheet name="10千伏 线路-2021年第二季度" sheetId="3" r:id="rId3"/>
    <sheet name="10千伏 线路-2021年第三季度" sheetId="4" r:id="rId4"/>
    <sheet name="甘泉1" sheetId="5" state="hidden" r:id="rId5"/>
    <sheet name="安塞1" sheetId="6" state="hidden" r:id="rId6"/>
    <sheet name="延川1" sheetId="7" state="hidden" r:id="rId7"/>
    <sheet name="延长1" sheetId="8" state="hidden" r:id="rId8"/>
    <sheet name="富县1" sheetId="9" state="hidden" r:id="rId9"/>
    <sheet name="黄龙1" sheetId="10" state="hidden" r:id="rId10"/>
    <sheet name="宜川1" sheetId="11" state="hidden" r:id="rId11"/>
    <sheet name="志丹1" sheetId="12" state="hidden" r:id="rId12"/>
    <sheet name="吴起1" sheetId="13" state="hidden" r:id="rId13"/>
    <sheet name="子长" sheetId="14" state="hidden" r:id="rId14"/>
    <sheet name="城固" sheetId="15" state="hidden" r:id="rId15"/>
    <sheet name="南郑" sheetId="16" state="hidden" r:id="rId16"/>
    <sheet name="洋县" sheetId="17" state="hidden" r:id="rId17"/>
    <sheet name="西乡" sheetId="18" state="hidden" r:id="rId18"/>
    <sheet name="宁强" sheetId="19" state="hidden" r:id="rId19"/>
    <sheet name="镇巴" sheetId="20" state="hidden" r:id="rId20"/>
    <sheet name="佛坪" sheetId="21" state="hidden" r:id="rId21"/>
    <sheet name="留坝" sheetId="22" state="hidden" r:id="rId22"/>
    <sheet name="宁陕" sheetId="23" state="hidden" r:id="rId23"/>
    <sheet name="石泉" sheetId="24" state="hidden" r:id="rId24"/>
    <sheet name="汉阴" sheetId="25" state="hidden" r:id="rId25"/>
    <sheet name="紫阳" sheetId="26" state="hidden" r:id="rId26"/>
    <sheet name="平利" sheetId="27" state="hidden" r:id="rId27"/>
    <sheet name="镇坪" sheetId="28" state="hidden" r:id="rId28"/>
    <sheet name="岚皋" sheetId="29" state="hidden" r:id="rId29"/>
  </sheets>
  <externalReferences>
    <externalReference r:id="rId32"/>
  </externalReferences>
  <definedNames/>
  <calcPr fullCalcOnLoad="1"/>
</workbook>
</file>

<file path=xl/comments10.xml><?xml version="1.0" encoding="utf-8"?>
<comments xmlns="http://schemas.openxmlformats.org/spreadsheetml/2006/main">
  <authors>
    <author>微软用户</author>
    <author>luobo</author>
  </authors>
  <commentList>
    <comment ref="F7" authorId="0">
      <text>
        <r>
          <rPr>
            <sz val="9"/>
            <rFont val="宋体"/>
            <family val="0"/>
          </rPr>
          <t>微软用户:
减少28.81KM,减少的划分为132黄李馈路</t>
        </r>
      </text>
    </comment>
    <comment ref="I7" authorId="0">
      <text>
        <r>
          <rPr>
            <sz val="9"/>
            <rFont val="宋体"/>
            <family val="0"/>
          </rPr>
          <t>微软用户:
增容80KVA</t>
        </r>
      </text>
    </comment>
    <comment ref="K7" authorId="1">
      <text>
        <r>
          <rPr>
            <sz val="9"/>
            <rFont val="宋体"/>
            <family val="0"/>
          </rPr>
          <t>luobo:
增加30KVA/1台</t>
        </r>
      </text>
    </comment>
    <comment ref="O7" authorId="1">
      <text>
        <r>
          <rPr>
            <sz val="9"/>
            <rFont val="宋体"/>
            <family val="0"/>
          </rPr>
          <t>luobo:
增加3只</t>
        </r>
      </text>
    </comment>
    <comment ref="P7" authorId="1">
      <text>
        <r>
          <rPr>
            <sz val="9"/>
            <rFont val="宋体"/>
            <family val="0"/>
          </rPr>
          <t>luobo:
增加3只</t>
        </r>
      </text>
    </comment>
    <comment ref="F8" authorId="0">
      <text>
        <r>
          <rPr>
            <sz val="9"/>
            <rFont val="宋体"/>
            <family val="0"/>
          </rPr>
          <t>微软用户:
减少22.37KM,减少的划分为132黄李馈路</t>
        </r>
      </text>
    </comment>
    <comment ref="I8" authorId="0">
      <text>
        <r>
          <rPr>
            <sz val="9"/>
            <rFont val="宋体"/>
            <family val="0"/>
          </rPr>
          <t>微软用户:增容80KVA</t>
        </r>
      </text>
    </comment>
    <comment ref="K8" authorId="1">
      <text>
        <r>
          <rPr>
            <sz val="9"/>
            <rFont val="宋体"/>
            <family val="0"/>
          </rPr>
          <t>luobo:
增加2575KVA/6台</t>
        </r>
      </text>
    </comment>
    <comment ref="O8" authorId="1">
      <text>
        <r>
          <rPr>
            <sz val="9"/>
            <rFont val="宋体"/>
            <family val="0"/>
          </rPr>
          <t>luobo:
增加9只</t>
        </r>
      </text>
    </comment>
    <comment ref="P8" authorId="1">
      <text>
        <r>
          <rPr>
            <sz val="9"/>
            <rFont val="宋体"/>
            <family val="0"/>
          </rPr>
          <t>luobo:
增加9只</t>
        </r>
      </text>
    </comment>
    <comment ref="K9" authorId="0">
      <text>
        <r>
          <rPr>
            <sz val="9"/>
            <rFont val="宋体"/>
            <family val="0"/>
          </rPr>
          <t>微软用户:
新增630kva/2台</t>
        </r>
      </text>
    </comment>
    <comment ref="O9" authorId="0">
      <text>
        <r>
          <rPr>
            <sz val="9"/>
            <rFont val="宋体"/>
            <family val="0"/>
          </rPr>
          <t>微软用户:
增加6只</t>
        </r>
      </text>
    </comment>
    <comment ref="P9" authorId="0">
      <text>
        <r>
          <rPr>
            <sz val="9"/>
            <rFont val="宋体"/>
            <family val="0"/>
          </rPr>
          <t>微软用户:
增加6只</t>
        </r>
      </text>
    </comment>
    <comment ref="I10" authorId="0">
      <text>
        <r>
          <rPr>
            <sz val="9"/>
            <rFont val="宋体"/>
            <family val="0"/>
          </rPr>
          <t>微软用户:
增加100KVA/1台</t>
        </r>
      </text>
    </comment>
    <comment ref="K10" authorId="0">
      <text>
        <r>
          <rPr>
            <sz val="9"/>
            <rFont val="宋体"/>
            <family val="0"/>
          </rPr>
          <t>微软用户:
增加1480KVA/4台，增容50KVA/1台</t>
        </r>
      </text>
    </comment>
    <comment ref="O10" authorId="0">
      <text>
        <r>
          <rPr>
            <sz val="9"/>
            <rFont val="宋体"/>
            <family val="0"/>
          </rPr>
          <t>微软用户:
增加12只</t>
        </r>
      </text>
    </comment>
    <comment ref="P10" authorId="0">
      <text>
        <r>
          <rPr>
            <sz val="9"/>
            <rFont val="宋体"/>
            <family val="0"/>
          </rPr>
          <t>微软用户:
增加12只</t>
        </r>
      </text>
    </comment>
    <comment ref="F12" authorId="0">
      <text>
        <r>
          <rPr>
            <sz val="9"/>
            <rFont val="宋体"/>
            <family val="0"/>
          </rPr>
          <t>微软用户:
新增线路5.6KM</t>
        </r>
      </text>
    </comment>
    <comment ref="I12" authorId="0">
      <text>
        <r>
          <rPr>
            <sz val="9"/>
            <rFont val="宋体"/>
            <family val="0"/>
          </rPr>
          <t>微软用户:
增加90KVA/3台</t>
        </r>
      </text>
    </comment>
    <comment ref="K12" authorId="0">
      <text>
        <r>
          <rPr>
            <sz val="9"/>
            <rFont val="宋体"/>
            <family val="0"/>
          </rPr>
          <t>微软用户:
增加50KVA/台</t>
        </r>
      </text>
    </comment>
    <comment ref="I14" authorId="1">
      <text>
        <r>
          <rPr>
            <sz val="9"/>
            <rFont val="宋体"/>
            <family val="0"/>
          </rPr>
          <t>luobo:
增容80KVA/1</t>
        </r>
      </text>
    </comment>
    <comment ref="K18" authorId="1">
      <text>
        <r>
          <rPr>
            <sz val="9"/>
            <rFont val="宋体"/>
            <family val="0"/>
          </rPr>
          <t>luobo:
增加80KVA/1台</t>
        </r>
      </text>
    </comment>
    <comment ref="O18" authorId="0">
      <text>
        <r>
          <rPr>
            <sz val="9"/>
            <rFont val="宋体"/>
            <family val="0"/>
          </rPr>
          <t>微软用户:
增加3只</t>
        </r>
      </text>
    </comment>
    <comment ref="P18" authorId="0">
      <text>
        <r>
          <rPr>
            <sz val="9"/>
            <rFont val="宋体"/>
            <family val="0"/>
          </rPr>
          <t>微软用户:
增加3只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F7" authorId="0">
      <text>
        <r>
          <rPr>
            <sz val="9"/>
            <rFont val="宋体"/>
            <family val="0"/>
          </rPr>
          <t>Administrator:
增加1.65KM</t>
        </r>
      </text>
    </comment>
    <comment ref="L7" authorId="0">
      <text>
        <r>
          <rPr>
            <sz val="9"/>
            <rFont val="宋体"/>
            <family val="0"/>
          </rPr>
          <t>Administrator:
增加三台625KVA</t>
        </r>
      </text>
    </comment>
    <comment ref="G8" authorId="0">
      <text>
        <r>
          <rPr>
            <sz val="9"/>
            <rFont val="宋体"/>
            <family val="0"/>
          </rPr>
          <t>Administrator:
新增0.2KM</t>
        </r>
      </text>
    </comment>
    <comment ref="L8" authorId="0">
      <text>
        <r>
          <rPr>
            <sz val="9"/>
            <rFont val="宋体"/>
            <family val="0"/>
          </rPr>
          <t xml:space="preserve">Administrator:
增加六台1050KVA
</t>
        </r>
      </text>
    </comment>
    <comment ref="F9" authorId="0">
      <text>
        <r>
          <rPr>
            <sz val="9"/>
            <rFont val="宋体"/>
            <family val="0"/>
          </rPr>
          <t>Administrator:
增加0.81KM</t>
        </r>
      </text>
    </comment>
    <comment ref="L9" authorId="0">
      <text>
        <r>
          <rPr>
            <sz val="9"/>
            <rFont val="宋体"/>
            <family val="0"/>
          </rPr>
          <t>Administrator:
增加三台520KVA</t>
        </r>
      </text>
    </comment>
    <comment ref="L13" authorId="0">
      <text>
        <r>
          <rPr>
            <sz val="9"/>
            <rFont val="宋体"/>
            <family val="0"/>
          </rPr>
          <t>Administrator:
增加九台620KVA</t>
        </r>
      </text>
    </comment>
    <comment ref="F15" authorId="0">
      <text>
        <r>
          <rPr>
            <sz val="9"/>
            <rFont val="宋体"/>
            <family val="0"/>
          </rPr>
          <t>Administrator:
增加2.4KM</t>
        </r>
      </text>
    </comment>
    <comment ref="G15" authorId="0">
      <text>
        <r>
          <rPr>
            <sz val="9"/>
            <rFont val="宋体"/>
            <family val="0"/>
          </rPr>
          <t>Administrator:
新增0.86KM</t>
        </r>
      </text>
    </comment>
    <comment ref="L15" authorId="0">
      <text>
        <r>
          <rPr>
            <sz val="9"/>
            <rFont val="宋体"/>
            <family val="0"/>
          </rPr>
          <t>Administrator:
增加一台50KVA</t>
        </r>
      </text>
    </comment>
    <comment ref="L18" authorId="0">
      <text>
        <r>
          <rPr>
            <sz val="9"/>
            <rFont val="宋体"/>
            <family val="0"/>
          </rPr>
          <t>Administrator:
增加一台20KVA</t>
        </r>
      </text>
    </comment>
    <comment ref="G20" authorId="0">
      <text>
        <r>
          <rPr>
            <sz val="9"/>
            <rFont val="宋体"/>
            <family val="0"/>
          </rPr>
          <t>Administrator:
增加0.68KM</t>
        </r>
      </text>
    </comment>
    <comment ref="L20" authorId="0">
      <text>
        <r>
          <rPr>
            <sz val="9"/>
            <rFont val="宋体"/>
            <family val="0"/>
          </rPr>
          <t>Administrator:
增加三台600KVA</t>
        </r>
      </text>
    </comment>
    <comment ref="L21" authorId="0">
      <text>
        <r>
          <rPr>
            <sz val="9"/>
            <rFont val="宋体"/>
            <family val="0"/>
          </rPr>
          <t>Administrator:
增加二台100KVA</t>
        </r>
      </text>
    </comment>
    <comment ref="F22" authorId="0">
      <text>
        <r>
          <rPr>
            <sz val="9"/>
            <rFont val="宋体"/>
            <family val="0"/>
          </rPr>
          <t>Administrator:
增加1.54</t>
        </r>
      </text>
    </comment>
    <comment ref="G22" authorId="0">
      <text>
        <r>
          <rPr>
            <sz val="9"/>
            <rFont val="宋体"/>
            <family val="0"/>
          </rPr>
          <t>Administrator:
新增0.07KM</t>
        </r>
      </text>
    </comment>
    <comment ref="L22" authorId="0">
      <text>
        <r>
          <rPr>
            <sz val="9"/>
            <rFont val="宋体"/>
            <family val="0"/>
          </rPr>
          <t>Administrator:
增加五台1060KVA</t>
        </r>
      </text>
    </comment>
    <comment ref="L24" authorId="0">
      <text>
        <r>
          <rPr>
            <sz val="9"/>
            <rFont val="宋体"/>
            <family val="0"/>
          </rPr>
          <t>Administrator:
增加一台50KVA</t>
        </r>
      </text>
    </comment>
    <comment ref="L26" authorId="0">
      <text>
        <r>
          <rPr>
            <sz val="9"/>
            <rFont val="宋体"/>
            <family val="0"/>
          </rPr>
          <t>Administrator:
增加一台80KVA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lenovo</author>
  </authors>
  <commentList>
    <comment ref="S5" authorId="0">
      <text>
        <r>
          <rPr>
            <sz val="9"/>
            <rFont val="宋体"/>
            <family val="0"/>
          </rPr>
          <t>USER:
2011年9月底统计数据</t>
        </r>
      </text>
    </comment>
    <comment ref="M8" authorId="0">
      <text>
        <r>
          <rPr>
            <sz val="9"/>
            <rFont val="宋体"/>
            <family val="0"/>
          </rPr>
          <t>USER:
113旦义局属增加310KVA,用户增加120KVA,6台变压器</t>
        </r>
      </text>
    </comment>
    <comment ref="G9" authorId="0">
      <text>
        <r>
          <rPr>
            <sz val="9"/>
            <rFont val="宋体"/>
            <family val="0"/>
          </rPr>
          <t>USER:
113阳河由111阳南转移25.725KM,116阳兰41.486KM,113阳河新建3.13KM</t>
        </r>
      </text>
    </comment>
    <comment ref="M9" authorId="0">
      <text>
        <r>
          <rPr>
            <sz val="9"/>
            <rFont val="宋体"/>
            <family val="0"/>
          </rPr>
          <t>USER:
113阳河增加84台/3710KVA</t>
        </r>
      </text>
    </comment>
    <comment ref="F10" authorId="0">
      <text>
        <r>
          <rPr>
            <sz val="9"/>
            <rFont val="宋体"/>
            <family val="0"/>
          </rPr>
          <t xml:space="preserve">USER:
拆除迂回线路10.94
</t>
        </r>
      </text>
    </comment>
    <comment ref="M10" authorId="0">
      <text>
        <r>
          <rPr>
            <sz val="9"/>
            <rFont val="宋体"/>
            <family val="0"/>
          </rPr>
          <t>USER:
115阳新线路增加414.4KVA,增加1台</t>
        </r>
      </text>
    </comment>
    <comment ref="F11" authorId="0">
      <text>
        <r>
          <rPr>
            <sz val="9"/>
            <rFont val="宋体"/>
            <family val="0"/>
          </rPr>
          <t>USER:
115官牛增加线路8.7002KM</t>
        </r>
      </text>
    </comment>
    <comment ref="M11" authorId="0">
      <text>
        <r>
          <rPr>
            <sz val="9"/>
            <rFont val="宋体"/>
            <family val="0"/>
          </rPr>
          <t xml:space="preserve">USER:
115官牛增加23.7KVA,
</t>
        </r>
      </text>
    </comment>
    <comment ref="F12" authorId="0">
      <text>
        <r>
          <rPr>
            <sz val="9"/>
            <rFont val="宋体"/>
            <family val="0"/>
          </rPr>
          <t>USER:
115旦金线路减少了9.25KM</t>
        </r>
      </text>
    </comment>
    <comment ref="M12" authorId="0">
      <text>
        <r>
          <rPr>
            <sz val="9"/>
            <rFont val="宋体"/>
            <family val="0"/>
          </rPr>
          <t>USER:
115旦金农网增加6台/127.4KVA,用户减少1台/20KVA</t>
        </r>
      </text>
    </comment>
    <comment ref="F13" authorId="0">
      <text>
        <r>
          <rPr>
            <sz val="9"/>
            <rFont val="宋体"/>
            <family val="0"/>
          </rPr>
          <t>USER:
146志城增加8.809KM</t>
        </r>
      </text>
    </comment>
    <comment ref="M13" authorId="0">
      <text>
        <r>
          <rPr>
            <sz val="9"/>
            <rFont val="宋体"/>
            <family val="0"/>
          </rPr>
          <t>USER:
146志城局属增加2台/565KVA,用户增加29台/6830KVA.</t>
        </r>
      </text>
    </comment>
    <comment ref="F14" authorId="0">
      <text>
        <r>
          <rPr>
            <sz val="9"/>
            <rFont val="宋体"/>
            <family val="0"/>
          </rPr>
          <t>USER:
143志城II增加0.143KM</t>
        </r>
      </text>
    </comment>
    <comment ref="M14" authorId="0">
      <text>
        <r>
          <rPr>
            <sz val="9"/>
            <rFont val="宋体"/>
            <family val="0"/>
          </rPr>
          <t>USER:
143志城II局属减少1台,用户增加7670KVA/25台</t>
        </r>
      </text>
    </comment>
    <comment ref="F15" authorId="0">
      <text>
        <r>
          <rPr>
            <sz val="9"/>
            <rFont val="宋体"/>
            <family val="0"/>
          </rPr>
          <t>USER:
141志新增加9.917KM</t>
        </r>
      </text>
    </comment>
    <comment ref="M15" authorId="0">
      <text>
        <r>
          <rPr>
            <sz val="9"/>
            <rFont val="宋体"/>
            <family val="0"/>
          </rPr>
          <t>USER:
141志新线路局属减少80KVA,用户增加40台/13490KVA</t>
        </r>
      </text>
    </comment>
    <comment ref="F16" authorId="0">
      <text>
        <r>
          <rPr>
            <sz val="9"/>
            <rFont val="宋体"/>
            <family val="0"/>
          </rPr>
          <t>USER:
147志双减少1.477KM</t>
        </r>
      </text>
    </comment>
    <comment ref="M16" authorId="0">
      <text>
        <r>
          <rPr>
            <sz val="9"/>
            <rFont val="宋体"/>
            <family val="0"/>
          </rPr>
          <t>USER:
147志双线路局属减少6台/355KVA,用户增加2748.7/4台</t>
        </r>
      </text>
    </comment>
    <comment ref="F17" authorId="0">
      <text>
        <r>
          <rPr>
            <sz val="9"/>
            <rFont val="宋体"/>
            <family val="0"/>
          </rPr>
          <t>USER:
145志刘减少8.42KM</t>
        </r>
      </text>
    </comment>
    <comment ref="M17" authorId="0">
      <text>
        <r>
          <rPr>
            <sz val="9"/>
            <rFont val="宋体"/>
            <family val="0"/>
          </rPr>
          <t>USER:
145志刘局属增加167.4KVA,用户增加6台/965KVA.</t>
        </r>
      </text>
    </comment>
    <comment ref="F18" authorId="0">
      <text>
        <r>
          <rPr>
            <sz val="9"/>
            <rFont val="宋体"/>
            <family val="0"/>
          </rPr>
          <t>USER:
113顺桃减少1.0523KM</t>
        </r>
      </text>
    </comment>
    <comment ref="M18" authorId="0">
      <text>
        <r>
          <rPr>
            <sz val="9"/>
            <rFont val="宋体"/>
            <family val="0"/>
          </rPr>
          <t>USER:
113顺桃局属增加437.4KVA/10台,用户增加1台/315KVA</t>
        </r>
      </text>
    </comment>
    <comment ref="M19" authorId="0">
      <text>
        <r>
          <rPr>
            <sz val="9"/>
            <rFont val="宋体"/>
            <family val="0"/>
          </rPr>
          <t>USER:
114顺纸局属增加90KVA/减少1台,用户增加3台,减少90KVA</t>
        </r>
      </text>
    </comment>
    <comment ref="F20" authorId="0">
      <text>
        <r>
          <rPr>
            <sz val="9"/>
            <rFont val="宋体"/>
            <family val="0"/>
          </rPr>
          <t>USER:
115采三增加0.276KM</t>
        </r>
      </text>
    </comment>
    <comment ref="M20" authorId="0">
      <text>
        <r>
          <rPr>
            <sz val="9"/>
            <rFont val="宋体"/>
            <family val="0"/>
          </rPr>
          <t>USER:
115采三局属增加50KVA</t>
        </r>
      </text>
    </comment>
    <comment ref="F21" authorId="0">
      <text>
        <r>
          <rPr>
            <sz val="9"/>
            <rFont val="宋体"/>
            <family val="0"/>
          </rPr>
          <t>USER:
113杏镇增加19.046KM, 主要为2011-2012年度杏河收回原长庆所带负荷</t>
        </r>
      </text>
    </comment>
    <comment ref="M21" authorId="0">
      <text>
        <r>
          <rPr>
            <sz val="9"/>
            <rFont val="宋体"/>
            <family val="0"/>
          </rPr>
          <t>USER:
113杏镇局属增加12台/630KVA,用户增加605KVA/5台</t>
        </r>
      </text>
    </comment>
    <comment ref="F22" authorId="0">
      <text>
        <r>
          <rPr>
            <sz val="9"/>
            <rFont val="宋体"/>
            <family val="0"/>
          </rPr>
          <t>USER:
113杏张减少8.43
KM</t>
        </r>
      </text>
    </comment>
    <comment ref="M22" authorId="0">
      <text>
        <r>
          <rPr>
            <sz val="9"/>
            <rFont val="宋体"/>
            <family val="0"/>
          </rPr>
          <t>USER:
115杏张局属增加250KVA/1台,用户增加30KVA.</t>
        </r>
      </text>
    </comment>
    <comment ref="F23" authorId="0">
      <text>
        <r>
          <rPr>
            <sz val="9"/>
            <rFont val="宋体"/>
            <family val="0"/>
          </rPr>
          <t>USER:
134旦吴减少13.797KM,主要原因是实行了移民搬造工程,进社区</t>
        </r>
      </text>
    </comment>
    <comment ref="M23" authorId="0">
      <text>
        <r>
          <rPr>
            <sz val="9"/>
            <rFont val="宋体"/>
            <family val="0"/>
          </rPr>
          <t>USER:
134旦吴局属增加386.3KVA/6台,用户增加140KVA/2台</t>
        </r>
      </text>
    </comment>
    <comment ref="F24" authorId="0">
      <text>
        <r>
          <rPr>
            <sz val="9"/>
            <rFont val="宋体"/>
            <family val="0"/>
          </rPr>
          <t>USER:
133旦金增加17.15KM,主要是2011年和2012年农网升级改造工程中进行线路延伸等改造工程</t>
        </r>
      </text>
    </comment>
    <comment ref="M24" authorId="0">
      <text>
        <r>
          <rPr>
            <sz val="9"/>
            <rFont val="宋体"/>
            <family val="0"/>
          </rPr>
          <t>USER:
133旦金局属增加320KVA/1台,用户减少1495KVA/12台.</t>
        </r>
      </text>
    </comment>
    <comment ref="F25" authorId="0">
      <text>
        <r>
          <rPr>
            <sz val="9"/>
            <rFont val="宋体"/>
            <family val="0"/>
          </rPr>
          <t>USER:
132旦镇增加23.812KM,主要是2012年2011年进行的农网升级改造工程</t>
        </r>
      </text>
    </comment>
    <comment ref="M25" authorId="0">
      <text>
        <r>
          <rPr>
            <sz val="9"/>
            <rFont val="宋体"/>
            <family val="0"/>
          </rPr>
          <t>USER:
132旦镇局属增加685KVA/3台,用户增加50KVA/1台</t>
        </r>
      </text>
    </comment>
    <comment ref="G26" authorId="0">
      <text>
        <r>
          <rPr>
            <sz val="9"/>
            <rFont val="宋体"/>
            <family val="0"/>
          </rPr>
          <t>USER:
131西区新建1.29KM</t>
        </r>
      </text>
    </comment>
    <comment ref="M26" authorId="0">
      <text>
        <r>
          <rPr>
            <sz val="9"/>
            <rFont val="宋体"/>
            <family val="0"/>
          </rPr>
          <t>USER:
131西区增加4763KVA/10台</t>
        </r>
      </text>
    </comment>
    <comment ref="M27" authorId="0">
      <text>
        <r>
          <rPr>
            <sz val="9"/>
            <rFont val="宋体"/>
            <family val="0"/>
          </rPr>
          <t>USER:
149志宁增加2920KVA,</t>
        </r>
      </text>
    </comment>
    <comment ref="G28" authorId="0">
      <text>
        <r>
          <rPr>
            <sz val="9"/>
            <rFont val="宋体"/>
            <family val="0"/>
          </rPr>
          <t xml:space="preserve">USER:
</t>
        </r>
      </text>
    </comment>
    <comment ref="M28" authorId="0">
      <text>
        <r>
          <rPr>
            <sz val="9"/>
            <rFont val="宋体"/>
            <family val="0"/>
          </rPr>
          <t>USER:
111阳南减少770KVA/65台</t>
        </r>
      </text>
    </comment>
    <comment ref="M29" authorId="0">
      <text>
        <r>
          <rPr>
            <sz val="9"/>
            <rFont val="宋体"/>
            <family val="0"/>
          </rPr>
          <t>USER:
116阳闫增加510KVA,减少22台</t>
        </r>
      </text>
    </comment>
    <comment ref="M30" authorId="0">
      <text>
        <r>
          <rPr>
            <sz val="9"/>
            <rFont val="宋体"/>
            <family val="0"/>
          </rPr>
          <t>USER:
111官庄增加695KVA/11台</t>
        </r>
      </text>
    </comment>
    <comment ref="M31" authorId="0">
      <text>
        <r>
          <rPr>
            <sz val="9"/>
            <rFont val="宋体"/>
            <family val="0"/>
          </rPr>
          <t>USER:
112官西增加2833KVA/5台</t>
        </r>
      </text>
    </comment>
    <comment ref="M32" authorId="0">
      <text>
        <r>
          <rPr>
            <sz val="9"/>
            <rFont val="宋体"/>
            <family val="0"/>
          </rPr>
          <t>USER:
113官榆减少2049KVA</t>
        </r>
      </text>
    </comment>
    <comment ref="G33" authorId="0">
      <text>
        <r>
          <rPr>
            <sz val="9"/>
            <rFont val="宋体"/>
            <family val="0"/>
          </rPr>
          <t>USER:
112寨吴线路新建24.57KM</t>
        </r>
      </text>
    </comment>
    <comment ref="M33" authorId="0">
      <text>
        <r>
          <rPr>
            <sz val="9"/>
            <rFont val="宋体"/>
            <family val="0"/>
          </rPr>
          <t>USER:
112寨吴减少713KVA.</t>
        </r>
      </text>
    </comment>
    <comment ref="G34" authorId="0">
      <text>
        <r>
          <rPr>
            <sz val="9"/>
            <rFont val="宋体"/>
            <family val="0"/>
          </rPr>
          <t>USER:
115寨义线路新建18.03KM</t>
        </r>
      </text>
    </comment>
    <comment ref="M34" authorId="0">
      <text>
        <r>
          <rPr>
            <sz val="9"/>
            <rFont val="宋体"/>
            <family val="0"/>
          </rPr>
          <t>USER:
115寨义减少1319KVA</t>
        </r>
      </text>
    </comment>
    <comment ref="G35" authorId="0">
      <text>
        <r>
          <rPr>
            <sz val="9"/>
            <rFont val="宋体"/>
            <family val="0"/>
          </rPr>
          <t>USER:
116寨榆新建4.98KM</t>
        </r>
      </text>
    </comment>
    <comment ref="M35" authorId="0">
      <text>
        <r>
          <rPr>
            <sz val="9"/>
            <rFont val="宋体"/>
            <family val="0"/>
          </rPr>
          <t>USER:
116寨榆线增加772KVA</t>
        </r>
      </text>
    </comment>
    <comment ref="M36" authorId="0">
      <text>
        <r>
          <rPr>
            <sz val="9"/>
            <rFont val="宋体"/>
            <family val="0"/>
          </rPr>
          <t>USER:
114寨永增加2450KVA/9台</t>
        </r>
      </text>
    </comment>
    <comment ref="G38" authorId="0">
      <text>
        <r>
          <rPr>
            <sz val="9"/>
            <rFont val="宋体"/>
            <family val="0"/>
          </rPr>
          <t>USER:
149志宁线路转移148.04KM.新建1.74KM.</t>
        </r>
      </text>
    </comment>
    <comment ref="K38" authorId="0">
      <text>
        <r>
          <rPr>
            <sz val="9"/>
            <rFont val="宋体"/>
            <family val="0"/>
          </rPr>
          <t>USER:
新增负荷5000  变压骂30台</t>
        </r>
      </text>
    </comment>
    <comment ref="M38" authorId="0">
      <text>
        <r>
          <rPr>
            <sz val="9"/>
            <rFont val="宋体"/>
            <family val="0"/>
          </rPr>
          <t>USER:
154志台减少170KVA,增加28台</t>
        </r>
      </text>
    </comment>
    <comment ref="N38" authorId="0">
      <text>
        <r>
          <rPr>
            <sz val="9"/>
            <rFont val="宋体"/>
            <family val="0"/>
          </rPr>
          <t xml:space="preserve">USER:
</t>
        </r>
      </text>
    </comment>
    <comment ref="M40" authorId="0">
      <text>
        <r>
          <rPr>
            <sz val="9"/>
            <rFont val="宋体"/>
            <family val="0"/>
          </rPr>
          <t>USER:
112阳管增加1800KVA/3台</t>
        </r>
      </text>
    </comment>
    <comment ref="G41" authorId="0">
      <text>
        <r>
          <rPr>
            <sz val="9"/>
            <rFont val="宋体"/>
            <family val="0"/>
          </rPr>
          <t>USER:
112旦郝线路新建40.611KM</t>
        </r>
      </text>
    </comment>
    <comment ref="M41" authorId="0">
      <text>
        <r>
          <rPr>
            <sz val="9"/>
            <rFont val="宋体"/>
            <family val="0"/>
          </rPr>
          <t>USER:
112旦郝增加2340KVA/30台</t>
        </r>
      </text>
    </comment>
    <comment ref="G44" authorId="0">
      <text>
        <r>
          <rPr>
            <sz val="9"/>
            <rFont val="宋体"/>
            <family val="0"/>
          </rPr>
          <t>USER:
119寨旦线路新建1.66KM</t>
        </r>
      </text>
    </comment>
    <comment ref="M44" authorId="0">
      <text>
        <r>
          <rPr>
            <sz val="9"/>
            <rFont val="宋体"/>
            <family val="0"/>
          </rPr>
          <t>USER:
119寨旦增加6682KVA/28台.</t>
        </r>
      </text>
    </comment>
    <comment ref="F45" authorId="0">
      <text>
        <r>
          <rPr>
            <sz val="9"/>
            <rFont val="宋体"/>
            <family val="0"/>
          </rPr>
          <t>USER:
161埝永线路增加52.977KM,主要原因为165埝高线路转移部分负荷.</t>
        </r>
      </text>
    </comment>
    <comment ref="M46" authorId="0">
      <text>
        <r>
          <rPr>
            <sz val="9"/>
            <rFont val="宋体"/>
            <family val="0"/>
          </rPr>
          <t>USER:
165埝 高增加2465KVA/41台</t>
        </r>
      </text>
    </comment>
    <comment ref="M47" authorId="0">
      <text>
        <r>
          <rPr>
            <sz val="9"/>
            <rFont val="宋体"/>
            <family val="0"/>
          </rPr>
          <t>USER:
163埝沙减少1430KVA/17台</t>
        </r>
      </text>
    </comment>
    <comment ref="M48" authorId="0">
      <text>
        <r>
          <rPr>
            <sz val="9"/>
            <rFont val="宋体"/>
            <family val="0"/>
          </rPr>
          <t>USER:
162埝长增加1825KVA/22台</t>
        </r>
      </text>
    </comment>
    <comment ref="M49" authorId="0">
      <text>
        <r>
          <rPr>
            <sz val="9"/>
            <rFont val="宋体"/>
            <family val="0"/>
          </rPr>
          <t>USER:
135永钻I增加1145KVA/36台</t>
        </r>
      </text>
    </comment>
    <comment ref="G50" authorId="0">
      <text>
        <r>
          <rPr>
            <sz val="9"/>
            <rFont val="宋体"/>
            <family val="0"/>
          </rPr>
          <t>USER:
114阳闫由111官庄转移12.421KM,114寨永转移15.969KM.</t>
        </r>
      </text>
    </comment>
    <comment ref="M50" authorId="0">
      <text>
        <r>
          <rPr>
            <sz val="9"/>
            <rFont val="宋体"/>
            <family val="0"/>
          </rPr>
          <t>USER:
114阳闫II增加6450KVA/63台</t>
        </r>
      </text>
    </comment>
    <comment ref="K52" authorId="1">
      <text>
        <r>
          <rPr>
            <sz val="9"/>
            <rFont val="宋体"/>
            <family val="0"/>
          </rPr>
          <t>lenovo:
2010年报未小计</t>
        </r>
      </text>
    </comment>
    <comment ref="M52" authorId="0">
      <text>
        <r>
          <rPr>
            <sz val="9"/>
            <rFont val="宋体"/>
            <family val="0"/>
          </rPr>
          <t>USER:
116顺黄减少4207KVA/18台</t>
        </r>
      </text>
    </comment>
    <comment ref="M53" authorId="0">
      <text>
        <r>
          <rPr>
            <sz val="9"/>
            <rFont val="宋体"/>
            <family val="0"/>
          </rPr>
          <t>USER:
118顺刘减少2020KVA/5台</t>
        </r>
      </text>
    </comment>
    <comment ref="M54" authorId="0">
      <text>
        <r>
          <rPr>
            <sz val="9"/>
            <rFont val="宋体"/>
            <family val="0"/>
          </rPr>
          <t>USER:
114杏王减少450KVA/2台</t>
        </r>
      </text>
    </comment>
    <comment ref="M55" authorId="0">
      <text>
        <r>
          <rPr>
            <sz val="9"/>
            <rFont val="宋体"/>
            <family val="0"/>
          </rPr>
          <t>USER:
136西区II增加8239KVA/130台</t>
        </r>
      </text>
    </comment>
    <comment ref="K60" authorId="0">
      <text>
        <r>
          <rPr>
            <sz val="9"/>
            <rFont val="宋体"/>
            <family val="0"/>
          </rPr>
          <t>USER:
2012年12月7日报延安供电局专变数字，</t>
        </r>
      </text>
    </comment>
  </commentList>
</comments>
</file>

<file path=xl/comments13.xml><?xml version="1.0" encoding="utf-8"?>
<comments xmlns="http://schemas.openxmlformats.org/spreadsheetml/2006/main">
  <authors>
    <author>微软用户</author>
  </authors>
  <commentList>
    <comment ref="I20" authorId="0">
      <text>
        <r>
          <rPr>
            <sz val="9"/>
            <rFont val="宋体"/>
            <family val="0"/>
          </rPr>
          <t>新增局属配变10 kVA/1台（吝园子2号变容量10KVA）</t>
        </r>
      </text>
    </comment>
    <comment ref="J20" authorId="0">
      <text>
        <r>
          <rPr>
            <sz val="9"/>
            <rFont val="宋体"/>
            <family val="0"/>
          </rPr>
          <t>新增局属配变10 kVA/1台（吝园子2号变容量10KVA）</t>
        </r>
      </text>
    </comment>
    <comment ref="M20" authorId="0">
      <text>
        <r>
          <rPr>
            <sz val="9"/>
            <rFont val="宋体"/>
            <family val="0"/>
          </rPr>
          <t>新增局属配变10 kVA/1台（吝园子2号变容量10KVA）</t>
        </r>
      </text>
    </comment>
    <comment ref="N20" authorId="0">
      <text>
        <r>
          <rPr>
            <sz val="9"/>
            <rFont val="宋体"/>
            <family val="0"/>
          </rPr>
          <t>新增局属配变10 kVA/1台（吝园子2号变容量10KVA）</t>
        </r>
      </text>
    </comment>
    <comment ref="I21" authorId="0">
      <text>
        <r>
          <rPr>
            <sz val="9"/>
            <rFont val="宋体"/>
            <family val="0"/>
          </rPr>
          <t>新增局属配变230 kVA/3台（铁边城3号变容量200KVA、郭堡子变容量10KVA、贾台子2号变20KVA）</t>
        </r>
      </text>
    </comment>
    <comment ref="J21" authorId="0">
      <text>
        <r>
          <rPr>
            <sz val="9"/>
            <rFont val="宋体"/>
            <family val="0"/>
          </rPr>
          <t>新增局属配变230 kVA/3台（铁边城3号变容量200KVA、郭堡子变容量10KVA、贾台子2号变20KVA）</t>
        </r>
      </text>
    </comment>
    <comment ref="M21" authorId="0">
      <text>
        <r>
          <rPr>
            <sz val="9"/>
            <rFont val="宋体"/>
            <family val="0"/>
          </rPr>
          <t>新增局属配变230 kVA/3台（铁边城3号变容量200KVA、郭堡子变容量10KVA、贾台子2号变20KVA）</t>
        </r>
      </text>
    </comment>
    <comment ref="N21" authorId="0">
      <text>
        <r>
          <rPr>
            <sz val="9"/>
            <rFont val="宋体"/>
            <family val="0"/>
          </rPr>
          <t>新增局属配变230 kVA/3台（铁边城3号变容量200KVA、郭堡子变容量10KVA、贾台子2号变20KVA）</t>
        </r>
      </text>
    </comment>
    <comment ref="I24" authorId="0">
      <text>
        <r>
          <rPr>
            <sz val="9"/>
            <rFont val="宋体"/>
            <family val="0"/>
          </rPr>
          <t>新增配变100kVA/3台（阳崾岘20KVA、尹家沟30KVA、白草沟50KVA）</t>
        </r>
      </text>
    </comment>
    <comment ref="J24" authorId="0">
      <text>
        <r>
          <rPr>
            <sz val="9"/>
            <rFont val="宋体"/>
            <family val="0"/>
          </rPr>
          <t>新增局属配变100kVA/3台（阳崾岘20KVA、尹家沟30KVA、白草沟50KVA）</t>
        </r>
      </text>
    </comment>
    <comment ref="M24" authorId="0">
      <text>
        <r>
          <rPr>
            <sz val="9"/>
            <rFont val="宋体"/>
            <family val="0"/>
          </rPr>
          <t>新增局属配变100kVA/3台（阳崾岘20KVA、尹家沟30KVA、白草沟50KVA）</t>
        </r>
      </text>
    </comment>
    <comment ref="N24" authorId="0">
      <text>
        <r>
          <rPr>
            <sz val="9"/>
            <rFont val="宋体"/>
            <family val="0"/>
          </rPr>
          <t>新增局属配变100kVA/3台（阳崾岘20KVA、尹家沟30KVA、白草沟50KVA）</t>
        </r>
      </text>
    </comment>
    <comment ref="I28" authorId="0">
      <text>
        <r>
          <rPr>
            <sz val="9"/>
            <rFont val="宋体"/>
            <family val="0"/>
          </rPr>
          <t>新增局属配变200kVA/1台（杏树沟门2号200KVA）</t>
        </r>
      </text>
    </comment>
    <comment ref="J28" authorId="0">
      <text>
        <r>
          <rPr>
            <sz val="9"/>
            <rFont val="宋体"/>
            <family val="0"/>
          </rPr>
          <t>新增局属配变200kVA/1台（杏树沟门2号200KVA）</t>
        </r>
      </text>
    </comment>
    <comment ref="M28" authorId="0">
      <text>
        <r>
          <rPr>
            <sz val="9"/>
            <rFont val="宋体"/>
            <family val="0"/>
          </rPr>
          <t>新增局属配变200kVA/1台（杏树沟门2号200KVA）</t>
        </r>
      </text>
    </comment>
    <comment ref="N28" authorId="0">
      <text>
        <r>
          <rPr>
            <sz val="9"/>
            <rFont val="宋体"/>
            <family val="0"/>
          </rPr>
          <t>新增局属配变200kVA/1台（杏树沟门2号200KVA）</t>
        </r>
      </text>
    </comment>
    <comment ref="G30" authorId="0">
      <text>
        <r>
          <rPr>
            <sz val="9"/>
            <rFont val="宋体"/>
            <family val="0"/>
          </rPr>
          <t>新增线路55KM</t>
        </r>
      </text>
    </comment>
    <comment ref="K30" authorId="0">
      <text>
        <r>
          <rPr>
            <sz val="9"/>
            <rFont val="宋体"/>
            <family val="0"/>
          </rPr>
          <t>新增专变1200 kVA/20台</t>
        </r>
      </text>
    </comment>
    <comment ref="L30" authorId="0">
      <text>
        <r>
          <rPr>
            <sz val="9"/>
            <rFont val="宋体"/>
            <family val="0"/>
          </rPr>
          <t>新增专变1200 kVA/20台</t>
        </r>
      </text>
    </comment>
    <comment ref="M30" authorId="0">
      <text>
        <r>
          <rPr>
            <sz val="9"/>
            <rFont val="宋体"/>
            <family val="0"/>
          </rPr>
          <t>新增专变1200 kVA/20台</t>
        </r>
      </text>
    </comment>
    <comment ref="N30" authorId="0">
      <text>
        <r>
          <rPr>
            <sz val="9"/>
            <rFont val="宋体"/>
            <family val="0"/>
          </rPr>
          <t>新增专变1200 kVA/20台</t>
        </r>
      </text>
    </comment>
    <comment ref="G33" authorId="0">
      <text>
        <r>
          <rPr>
            <sz val="9"/>
            <rFont val="宋体"/>
            <family val="0"/>
          </rPr>
          <t>专线新增线路35KM</t>
        </r>
      </text>
    </comment>
    <comment ref="K33" authorId="0">
      <text>
        <r>
          <rPr>
            <sz val="9"/>
            <rFont val="宋体"/>
            <family val="0"/>
          </rPr>
          <t>新增专变1620 kVA/27台</t>
        </r>
      </text>
    </comment>
    <comment ref="L33" authorId="0">
      <text>
        <r>
          <rPr>
            <sz val="9"/>
            <rFont val="宋体"/>
            <family val="0"/>
          </rPr>
          <t>新增专变1620 kVA/27台</t>
        </r>
      </text>
    </comment>
    <comment ref="M33" authorId="0">
      <text>
        <r>
          <rPr>
            <sz val="9"/>
            <rFont val="宋体"/>
            <family val="0"/>
          </rPr>
          <t>新增专变1620 kVA/27台</t>
        </r>
      </text>
    </comment>
    <comment ref="N33" authorId="0">
      <text>
        <r>
          <rPr>
            <sz val="9"/>
            <rFont val="宋体"/>
            <family val="0"/>
          </rPr>
          <t>新增专变1620 kVA/27台</t>
        </r>
      </text>
    </comment>
    <comment ref="F34" authorId="0">
      <text>
        <r>
          <rPr>
            <sz val="9"/>
            <rFont val="宋体"/>
            <family val="0"/>
          </rPr>
          <t>其中局属线路减少5KM。其中：由144县城II转入到139庙沟Ⅱ局属线路5KM。</t>
        </r>
      </text>
    </comment>
    <comment ref="I34" authorId="0">
      <text>
        <r>
          <rPr>
            <sz val="9"/>
            <rFont val="宋体"/>
            <family val="0"/>
          </rPr>
          <t>局属变压器减少1215kVA/11台。其中： 144城网Ⅱ新增局属配变400 kVA/1台（贺石湾2号变）、增容配变840kVA/5台，由144县城II转入到139庙沟Ⅱ局属变压器2455kVA/12台。</t>
        </r>
      </text>
    </comment>
    <comment ref="J34" authorId="0">
      <text>
        <r>
          <rPr>
            <sz val="9"/>
            <rFont val="宋体"/>
            <family val="0"/>
          </rPr>
          <t>局属变压器减少1215kVA/11台，容量增加3340kVA。其中： 144城网Ⅱ新增局属配变400 kVA/1台（贺石湾2号变）、增容配变840kVA/5台，由144县城II转入到139庙沟Ⅱ局属变压器2455kVA/12台。</t>
        </r>
      </text>
    </comment>
    <comment ref="K34" authorId="0">
      <text>
        <r>
          <rPr>
            <sz val="9"/>
            <rFont val="宋体"/>
            <family val="0"/>
          </rPr>
          <t>容量增加3340kVA。其中： 由144县城II转入到用户专变9885kVA/34台；137城郊线路转移到144城网Ⅱ线路用户专变13225kVA/12台</t>
        </r>
      </text>
    </comment>
    <comment ref="L34" authorId="0">
      <text>
        <r>
          <rPr>
            <sz val="9"/>
            <rFont val="宋体"/>
            <family val="0"/>
          </rPr>
          <t>专变减少22台。其中：由144县城II转入到用户专变9885kVA/34台；137城郊线路转移到144城网Ⅱ线路用户专变13225kVA/12台。</t>
        </r>
      </text>
    </comment>
    <comment ref="N34" authorId="0">
      <text>
        <r>
          <rPr>
            <sz val="9"/>
            <rFont val="宋体"/>
            <family val="0"/>
          </rPr>
          <t>144县城II配电变压器减少33台，容量增加2125 kVA，其中局属变压器减少1215kVA/11台，专变减少22台，容量增加3340kVA。其中： 144城网Ⅱ新增局属配变400 kVA/1台（贺石湾2号变）、增容配变840kVA/5台，由144县城II转入到139庙沟Ⅱ局属变压器2455kVA/12台，用户专变9885kVA/34台；137城郊线路转移到144城网Ⅱ线路用户专变13225kVA/12台.</t>
        </r>
      </text>
    </comment>
    <comment ref="G36" authorId="0">
      <text>
        <r>
          <rPr>
            <sz val="9"/>
            <rFont val="宋体"/>
            <family val="0"/>
          </rPr>
          <t>137城郊线路减少用户专线50KM。其中137城郊线路转移到185新杨用户线路50KM。</t>
        </r>
      </text>
    </comment>
    <comment ref="K36" authorId="0">
      <text>
        <r>
          <rPr>
            <sz val="9"/>
            <rFont val="宋体"/>
            <family val="0"/>
          </rPr>
          <t>减少专变16270kVA。其中137城郊线路转移到144城网Ⅱ线路用户专变13225kVA；137城郊线路转移到185新杨用户专变3045kVA。</t>
        </r>
      </text>
    </comment>
    <comment ref="L36" authorId="0">
      <text>
        <r>
          <rPr>
            <sz val="9"/>
            <rFont val="宋体"/>
            <family val="0"/>
          </rPr>
          <t>减少专变55台。其中137城郊线路转移到144城网Ⅱ线路用户专变12台；137城郊线路转移到185新杨用户专变43台。</t>
        </r>
      </text>
    </comment>
    <comment ref="N36" authorId="0">
      <text>
        <r>
          <rPr>
            <sz val="9"/>
            <rFont val="宋体"/>
            <family val="0"/>
          </rPr>
          <t>减少专变16270kVA/55台。其中137城郊线路转移到144城网Ⅱ线路用户专变13225kVA/12台；137城郊线路转移到185新杨用户专变3045kVA/43台。</t>
        </r>
      </text>
    </comment>
    <comment ref="B37" authorId="0">
      <text>
        <r>
          <rPr>
            <sz val="9"/>
            <rFont val="宋体"/>
            <family val="0"/>
          </rPr>
          <t>143庙沟原为农网现变为公网</t>
        </r>
      </text>
    </comment>
    <comment ref="F37" authorId="0">
      <text>
        <r>
          <rPr>
            <sz val="9"/>
            <rFont val="宋体"/>
            <family val="0"/>
          </rPr>
          <t>局属线路减少53.8KM（转移到194庙大线路）</t>
        </r>
      </text>
    </comment>
    <comment ref="G37" authorId="0">
      <text>
        <r>
          <rPr>
            <sz val="9"/>
            <rFont val="宋体"/>
            <family val="0"/>
          </rPr>
          <t>用户线路减少5.5KM（转移到194庙大线路）。</t>
        </r>
      </text>
    </comment>
    <comment ref="H37" authorId="0">
      <text>
        <r>
          <rPr>
            <sz val="9"/>
            <rFont val="宋体"/>
            <family val="0"/>
          </rPr>
          <t>线路减少59.3KM，其中局属线路减少53.8KM，用户线路减少5.5KM（转移到194庙大线路）。</t>
        </r>
      </text>
    </comment>
    <comment ref="I37" authorId="0">
      <text>
        <r>
          <rPr>
            <sz val="9"/>
            <rFont val="宋体"/>
            <family val="0"/>
          </rPr>
          <t>局属变压器减少195kVA/17台（转移到194庙大线路）。</t>
        </r>
      </text>
    </comment>
    <comment ref="J37" authorId="0">
      <text>
        <r>
          <rPr>
            <sz val="9"/>
            <rFont val="宋体"/>
            <family val="0"/>
          </rPr>
          <t>其中局属变压器减少195kVA/17台（转移到194庙大线路）。</t>
        </r>
      </text>
    </comment>
    <comment ref="K37" authorId="0">
      <text>
        <r>
          <rPr>
            <sz val="9"/>
            <rFont val="宋体"/>
            <family val="0"/>
          </rPr>
          <t>减少1075 kVA/12台（转移到194庙大线路）。</t>
        </r>
      </text>
    </comment>
    <comment ref="L37" authorId="0">
      <text>
        <r>
          <rPr>
            <sz val="9"/>
            <rFont val="宋体"/>
            <family val="0"/>
          </rPr>
          <t>专变减少1075 kVA/12台（转移到194庙大线路）</t>
        </r>
      </text>
    </comment>
    <comment ref="M37" authorId="0">
      <text>
        <r>
          <rPr>
            <sz val="9"/>
            <rFont val="宋体"/>
            <family val="0"/>
          </rPr>
          <t>变压器减少1270kVA/29台，其中局属变压器减少195kVA/17台，专变减少1075 kVA/12台（转移到194庙大线路）。</t>
        </r>
      </text>
    </comment>
    <comment ref="N37" authorId="0">
      <text>
        <r>
          <rPr>
            <sz val="9"/>
            <rFont val="宋体"/>
            <family val="0"/>
          </rPr>
          <t>变压器减少1270kVA/29台，其中局属变压器减少195kVA/17台，专变减少1075 kVA/12台（转移到194庙大线路）。</t>
        </r>
      </text>
    </comment>
    <comment ref="B38" authorId="0">
      <text>
        <r>
          <rPr>
            <sz val="9"/>
            <rFont val="宋体"/>
            <family val="0"/>
          </rPr>
          <t xml:space="preserve">139庙沟Ⅱ原为专线现变为公网
</t>
        </r>
      </text>
    </comment>
    <comment ref="F38" authorId="0">
      <text>
        <r>
          <rPr>
            <sz val="9"/>
            <rFont val="宋体"/>
            <family val="0"/>
          </rPr>
          <t>局属线路增加10KM，其中：由144县城II转入到139庙沟Ⅱ局属线路5KM，新增局属线路5 KM。</t>
        </r>
      </text>
    </comment>
    <comment ref="G38" authorId="0">
      <text>
        <r>
          <rPr>
            <sz val="9"/>
            <rFont val="宋体"/>
            <family val="0"/>
          </rPr>
          <t>用户线路减少36KM，将原139庙沟Ⅱ石油专线负荷及线路全部转移到198庙苗线路，共转移专线36KM。</t>
        </r>
      </text>
    </comment>
    <comment ref="H38" authorId="0">
      <text>
        <r>
          <rPr>
            <sz val="9"/>
            <rFont val="宋体"/>
            <family val="0"/>
          </rPr>
          <t>10KV线路共减少26KM</t>
        </r>
      </text>
    </comment>
    <comment ref="J38" authorId="0">
      <text>
        <r>
          <rPr>
            <sz val="9"/>
            <rFont val="宋体"/>
            <family val="0"/>
          </rPr>
          <t>局属变压器增加2715kVA/14台。其中：新增局属变压器260 kVA/2台（其中政府沟2号变160 kVA/1台、榆树坪2号变100 kVA/1台），由144县城II转入到139庙沟Ⅱ局属变压器2455kVA/12台</t>
        </r>
      </text>
    </comment>
    <comment ref="L38" authorId="0">
      <text>
        <r>
          <rPr>
            <sz val="9"/>
            <rFont val="宋体"/>
            <family val="0"/>
          </rPr>
          <t>专变减少4400 kVA/8台。其中：由144县城II转入到用户专变9885kVA/34台；将原139庙沟Ⅱ石油专线负荷及线路全部转移到198庙苗线路，共转移专变14285kVA/42台；</t>
        </r>
      </text>
    </comment>
    <comment ref="M38" authorId="0">
      <text>
        <r>
          <rPr>
            <sz val="9"/>
            <rFont val="宋体"/>
            <family val="0"/>
          </rPr>
          <t>容量减少1685 kVA，其中局属变压器增加2715kVA，专变减少4400 kVA。其中：新增局属变压器260 kVA/2台（其中政府沟2号变160 kVA/1台、榆树坪2号变100 kVA/1台），由144县城II转入到139庙沟Ⅱ局属变压器2455kVA/12台，用户专变9885kVA/34台；将原139庙沟Ⅱ石油专线负荷及线路全部转移到198庙苗线路，共转移专变14285kVA/42台。</t>
        </r>
      </text>
    </comment>
    <comment ref="N38" authorId="0">
      <text>
        <r>
          <rPr>
            <sz val="9"/>
            <rFont val="宋体"/>
            <family val="0"/>
          </rPr>
          <t>配电变压器增加6台</t>
        </r>
      </text>
    </comment>
    <comment ref="F39" authorId="0">
      <text>
        <r>
          <rPr>
            <sz val="9"/>
            <rFont val="宋体"/>
            <family val="0"/>
          </rPr>
          <t>局属线路增加53.8KM（由143庙沟线路转入）</t>
        </r>
      </text>
    </comment>
    <comment ref="G39" authorId="0">
      <text>
        <r>
          <rPr>
            <sz val="9"/>
            <rFont val="宋体"/>
            <family val="0"/>
          </rPr>
          <t>用户线路增加5.5KM，（由143庙沟线路转入）</t>
        </r>
      </text>
    </comment>
    <comment ref="I39" authorId="0">
      <text>
        <r>
          <rPr>
            <sz val="9"/>
            <rFont val="宋体"/>
            <family val="0"/>
          </rPr>
          <t>变压器增加195kVA/17台（由143庙沟线路转入）</t>
        </r>
      </text>
    </comment>
    <comment ref="J39" authorId="0">
      <text>
        <r>
          <rPr>
            <sz val="9"/>
            <rFont val="宋体"/>
            <family val="0"/>
          </rPr>
          <t>变压器增加195kVA/17台（由143庙沟线路转入）</t>
        </r>
      </text>
    </comment>
    <comment ref="K39" authorId="0">
      <text>
        <r>
          <rPr>
            <sz val="9"/>
            <rFont val="宋体"/>
            <family val="0"/>
          </rPr>
          <t>专变增加1075 kVA/12台（由143庙沟线路转入）</t>
        </r>
      </text>
    </comment>
    <comment ref="L39" authorId="0">
      <text>
        <r>
          <rPr>
            <sz val="9"/>
            <rFont val="宋体"/>
            <family val="0"/>
          </rPr>
          <t>专变增加1075 kVA/12台（由143庙沟线路转入）</t>
        </r>
      </text>
    </comment>
    <comment ref="M39" authorId="0">
      <text>
        <r>
          <rPr>
            <sz val="9"/>
            <rFont val="宋体"/>
            <family val="0"/>
          </rPr>
          <t>194庙大线路变压器增加1270kVA/29台，其中局属变压器增加195kVA/17台，专变增加1075 kVA/12台（由143庙沟线路转入）</t>
        </r>
      </text>
    </comment>
    <comment ref="N39" authorId="0">
      <text>
        <r>
          <rPr>
            <sz val="9"/>
            <rFont val="宋体"/>
            <family val="0"/>
          </rPr>
          <t>变压器增加1270kVA/29台，其中局属变压器增加195kVA/17台，专变增加1075 kVA/12台（由143庙沟线路转入）</t>
        </r>
      </text>
    </comment>
    <comment ref="G41" authorId="0">
      <text>
        <r>
          <rPr>
            <sz val="9"/>
            <rFont val="宋体"/>
            <family val="0"/>
          </rPr>
          <t>198庙苗线路用户专线增加36KM（原139庙沟Ⅱ线路）</t>
        </r>
      </text>
    </comment>
    <comment ref="L41" authorId="0">
      <text>
        <r>
          <rPr>
            <sz val="9"/>
            <rFont val="宋体"/>
            <family val="0"/>
          </rPr>
          <t>增加专变4285kVA/42台（原139庙沟Ⅱ线路转入）</t>
        </r>
      </text>
    </comment>
    <comment ref="G46" authorId="0">
      <text>
        <r>
          <rPr>
            <sz val="9"/>
            <rFont val="宋体"/>
            <family val="0"/>
          </rPr>
          <t>增加用户线路50KM（137城郊线路转移到185新杨）</t>
        </r>
      </text>
    </comment>
    <comment ref="I46" authorId="0">
      <text>
        <r>
          <rPr>
            <sz val="9"/>
            <rFont val="宋体"/>
            <family val="0"/>
          </rPr>
          <t>新增局属配变10 kVA/1台（吝园子2号）</t>
        </r>
      </text>
    </comment>
    <comment ref="J46" authorId="0">
      <text>
        <r>
          <rPr>
            <sz val="9"/>
            <rFont val="宋体"/>
            <family val="0"/>
          </rPr>
          <t>新增局属配变10 kVA/1台（吝园子2号）</t>
        </r>
      </text>
    </comment>
    <comment ref="K46" authorId="0">
      <text>
        <r>
          <rPr>
            <sz val="9"/>
            <rFont val="宋体"/>
            <family val="0"/>
          </rPr>
          <t>增加用户专变3045kVA/43台（137城郊线路转移到185新杨）。</t>
        </r>
      </text>
    </comment>
    <comment ref="L46" authorId="0">
      <text>
        <r>
          <rPr>
            <sz val="9"/>
            <rFont val="宋体"/>
            <family val="0"/>
          </rPr>
          <t>185新杨线路增加用户专变3045kVA/43台（137城郊线路转移到185新杨）</t>
        </r>
      </text>
    </comment>
    <comment ref="N46" authorId="0">
      <text>
        <r>
          <rPr>
            <sz val="9"/>
            <rFont val="宋体"/>
            <family val="0"/>
          </rPr>
          <t>185新杨线路增加用户专变3045kVA/43台（137城郊线路转移到185新杨）；185新杨新增局属配变10 kVA/1台（吝园子2号）</t>
        </r>
      </text>
    </comment>
    <comment ref="I49" authorId="0">
      <text>
        <r>
          <rPr>
            <sz val="9"/>
            <rFont val="宋体"/>
            <family val="0"/>
          </rPr>
          <t>增局属配变10 kVA/1台（张湾子2号变容量10KVA）</t>
        </r>
      </text>
    </comment>
    <comment ref="J49" authorId="0">
      <text>
        <r>
          <rPr>
            <sz val="9"/>
            <rFont val="宋体"/>
            <family val="0"/>
          </rPr>
          <t>增局属配变10 kVA/1台（张湾子2号变容量10KVA）</t>
        </r>
      </text>
    </comment>
    <comment ref="M49" authorId="0">
      <text>
        <r>
          <rPr>
            <sz val="9"/>
            <rFont val="宋体"/>
            <family val="0"/>
          </rPr>
          <t>增局属配变10 kVA/1台（张湾子2号变容量10KVA）</t>
        </r>
      </text>
    </comment>
    <comment ref="N49" authorId="0">
      <text>
        <r>
          <rPr>
            <sz val="9"/>
            <rFont val="宋体"/>
            <family val="0"/>
          </rPr>
          <t>增局属配变10 kVA/1台（张湾子2号变容量10KVA）</t>
        </r>
      </text>
    </comment>
    <comment ref="G58" authorId="0">
      <text>
        <r>
          <rPr>
            <sz val="9"/>
            <rFont val="宋体"/>
            <family val="0"/>
          </rPr>
          <t>新增线路23.2KM</t>
        </r>
      </text>
    </comment>
    <comment ref="K58" authorId="0">
      <text>
        <r>
          <rPr>
            <sz val="9"/>
            <rFont val="宋体"/>
            <family val="0"/>
          </rPr>
          <t>新增专变300 kVA/6台</t>
        </r>
      </text>
    </comment>
    <comment ref="L58" authorId="0">
      <text>
        <r>
          <rPr>
            <sz val="9"/>
            <rFont val="宋体"/>
            <family val="0"/>
          </rPr>
          <t>新增专变300 kVA/6台</t>
        </r>
      </text>
    </comment>
    <comment ref="M58" authorId="0">
      <text>
        <r>
          <rPr>
            <sz val="9"/>
            <rFont val="宋体"/>
            <family val="0"/>
          </rPr>
          <t>新增专变300 kVA/6台</t>
        </r>
      </text>
    </comment>
    <comment ref="N58" authorId="0">
      <text>
        <r>
          <rPr>
            <sz val="9"/>
            <rFont val="宋体"/>
            <family val="0"/>
          </rPr>
          <t>新增专变300 kVA/6台</t>
        </r>
      </text>
    </comment>
    <comment ref="G59" authorId="0">
      <text>
        <r>
          <rPr>
            <sz val="9"/>
            <rFont val="宋体"/>
            <family val="0"/>
          </rPr>
          <t>新增线路5.85KM</t>
        </r>
      </text>
    </comment>
    <comment ref="K59" authorId="0">
      <text>
        <r>
          <rPr>
            <sz val="9"/>
            <rFont val="宋体"/>
            <family val="0"/>
          </rPr>
          <t>新增专变300 kVA/6台</t>
        </r>
      </text>
    </comment>
    <comment ref="L59" authorId="0">
      <text>
        <r>
          <rPr>
            <sz val="9"/>
            <rFont val="宋体"/>
            <family val="0"/>
          </rPr>
          <t>新增专变300 kVA/6台</t>
        </r>
      </text>
    </comment>
    <comment ref="M59" authorId="0">
      <text>
        <r>
          <rPr>
            <sz val="9"/>
            <rFont val="宋体"/>
            <family val="0"/>
          </rPr>
          <t>新增专变300 kVA/6台</t>
        </r>
      </text>
    </comment>
    <comment ref="N59" authorId="0">
      <text>
        <r>
          <rPr>
            <sz val="9"/>
            <rFont val="宋体"/>
            <family val="0"/>
          </rPr>
          <t>新增专变300 kVA/6台</t>
        </r>
      </text>
    </comment>
    <comment ref="G60" authorId="0">
      <text>
        <r>
          <rPr>
            <sz val="9"/>
            <rFont val="宋体"/>
            <family val="0"/>
          </rPr>
          <t>新增线路12.54KM</t>
        </r>
      </text>
    </comment>
    <comment ref="K60" authorId="0">
      <text>
        <r>
          <rPr>
            <sz val="9"/>
            <rFont val="宋体"/>
            <family val="0"/>
          </rPr>
          <t>新增专变150 kVA/5台</t>
        </r>
      </text>
    </comment>
    <comment ref="L60" authorId="0">
      <text>
        <r>
          <rPr>
            <sz val="9"/>
            <rFont val="宋体"/>
            <family val="0"/>
          </rPr>
          <t>新增专变150 kVA/5台</t>
        </r>
      </text>
    </comment>
    <comment ref="M60" authorId="0">
      <text>
        <r>
          <rPr>
            <sz val="9"/>
            <rFont val="宋体"/>
            <family val="0"/>
          </rPr>
          <t>新增专变150 kVA/5台</t>
        </r>
      </text>
    </comment>
    <comment ref="N60" authorId="0">
      <text>
        <r>
          <rPr>
            <sz val="9"/>
            <rFont val="宋体"/>
            <family val="0"/>
          </rPr>
          <t>新增专变150 kVA/5台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F14" authorId="0">
      <text>
        <r>
          <rPr>
            <sz val="9"/>
            <rFont val="宋体"/>
            <family val="0"/>
          </rPr>
          <t>因负荷调整25.22KM线路转至涧宋 10KM线路划至子羊 7KM线路划至城郊</t>
        </r>
      </text>
    </comment>
    <comment ref="F17" authorId="0">
      <text>
        <r>
          <rPr>
            <sz val="9"/>
            <rFont val="宋体"/>
            <family val="0"/>
          </rPr>
          <t>负荷调整8KM线路划至子羊线</t>
        </r>
      </text>
    </comment>
    <comment ref="F18" authorId="0">
      <text>
        <r>
          <rPr>
            <sz val="9"/>
            <rFont val="宋体"/>
            <family val="0"/>
          </rPr>
          <t>线路改造对原线路走径优化，缩短旧线路5KM</t>
        </r>
      </text>
    </comment>
    <comment ref="F23" authorId="0">
      <text>
        <r>
          <rPr>
            <sz val="9"/>
            <rFont val="宋体"/>
            <family val="0"/>
          </rPr>
          <t xml:space="preserve">负荷调整4.4KM线路划至城郊线
</t>
        </r>
      </text>
    </comment>
    <comment ref="F31" authorId="0">
      <text>
        <r>
          <rPr>
            <sz val="9"/>
            <rFont val="宋体"/>
            <family val="0"/>
          </rPr>
          <t xml:space="preserve">负荷调整34.18KM划至丹杨线 19KM划至涧方线
</t>
        </r>
      </text>
    </comment>
    <comment ref="F40" authorId="0">
      <text>
        <r>
          <rPr>
            <sz val="9"/>
            <rFont val="宋体"/>
            <family val="0"/>
          </rPr>
          <t>负荷调整15.94KM线路划至涧宋</t>
        </r>
      </text>
    </comment>
    <comment ref="F43" authorId="0">
      <text>
        <r>
          <rPr>
            <sz val="9"/>
            <rFont val="宋体"/>
            <family val="0"/>
          </rPr>
          <t>负荷调整18KM线路划至富昌、丹马</t>
        </r>
      </text>
    </comment>
    <comment ref="F44" authorId="0">
      <text>
        <r>
          <rPr>
            <sz val="9"/>
            <rFont val="宋体"/>
            <family val="0"/>
          </rPr>
          <t xml:space="preserve">线路改造走径变化减少2.9KM
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微软系统</author>
    <author>微软中国</author>
    <author>Lenovo User</author>
  </authors>
  <commentList>
    <comment ref="F7" authorId="0">
      <text>
        <r>
          <rPr>
            <sz val="9"/>
            <rFont val="宋体"/>
            <family val="0"/>
          </rPr>
          <t>User:
2011年配网工程新建线路0.88KM。</t>
        </r>
      </text>
    </comment>
    <comment ref="K7" authorId="0">
      <text>
        <r>
          <rPr>
            <sz val="9"/>
            <rFont val="宋体"/>
            <family val="0"/>
          </rPr>
          <t>User:
新增用户配变800KVA/1台，500KVA/1台，630KVA/1台，400KVA/1台,100KVA/1台。</t>
        </r>
      </text>
    </comment>
    <comment ref="R7" authorId="0">
      <text>
        <r>
          <rPr>
            <sz val="9"/>
            <rFont val="宋体"/>
            <family val="0"/>
          </rPr>
          <t>User:
新增开关1台</t>
        </r>
      </text>
    </comment>
    <comment ref="K8" authorId="0">
      <text>
        <r>
          <rPr>
            <sz val="9"/>
            <rFont val="宋体"/>
            <family val="0"/>
          </rPr>
          <t>User:
新增用户配变200KVA/1台，315KVA/1台，630KVA/1台，160KVA/1台，250KVA/5台。</t>
        </r>
      </text>
    </comment>
    <comment ref="F9" authorId="0">
      <text>
        <r>
          <rPr>
            <sz val="9"/>
            <rFont val="宋体"/>
            <family val="0"/>
          </rPr>
          <t>User:
2011年配网工程新建线路0.2KM。</t>
        </r>
      </text>
    </comment>
    <comment ref="I9" authorId="0">
      <text>
        <r>
          <rPr>
            <sz val="9"/>
            <rFont val="宋体"/>
            <family val="0"/>
          </rPr>
          <t>User:
2011年配网工程新增配变曲里1台100KVA，高哨1台30KVA。</t>
        </r>
      </text>
    </comment>
    <comment ref="R9" authorId="0">
      <text>
        <r>
          <rPr>
            <sz val="9"/>
            <rFont val="宋体"/>
            <family val="0"/>
          </rPr>
          <t>User:
新增开关1台</t>
        </r>
      </text>
    </comment>
    <comment ref="G12" authorId="0">
      <text>
        <r>
          <rPr>
            <sz val="9"/>
            <rFont val="宋体"/>
            <family val="0"/>
          </rPr>
          <t>User:
3月份用户保温板厂新增线路0.17km.</t>
        </r>
      </text>
    </comment>
    <comment ref="K12" authorId="0">
      <text>
        <r>
          <rPr>
            <sz val="9"/>
            <rFont val="宋体"/>
            <family val="0"/>
          </rPr>
          <t>User:
新增用户配变50KVA/1台。</t>
        </r>
      </text>
    </comment>
    <comment ref="I16" authorId="0">
      <text>
        <r>
          <rPr>
            <sz val="9"/>
            <rFont val="宋体"/>
            <family val="0"/>
          </rPr>
          <t>User:
2011年配网工程新增配变和平队1台50KVA，油粉村1台50KVA,寺沟1台30KVA。</t>
        </r>
      </text>
    </comment>
    <comment ref="AC16" authorId="1">
      <text>
        <r>
          <rPr>
            <sz val="9"/>
            <rFont val="宋体"/>
            <family val="0"/>
          </rPr>
          <t>微软系统:
与石张馈路电量在一起</t>
        </r>
      </text>
    </comment>
    <comment ref="I17" authorId="0">
      <text>
        <r>
          <rPr>
            <sz val="9"/>
            <rFont val="宋体"/>
            <family val="0"/>
          </rPr>
          <t>User:
2011年配网工程新增配变柳林沟1台30KVA。</t>
        </r>
      </text>
    </comment>
    <comment ref="F18" authorId="0">
      <text>
        <r>
          <rPr>
            <sz val="9"/>
            <rFont val="宋体"/>
            <family val="0"/>
          </rPr>
          <t>User:
2011年配网工程新建线路0.982km。</t>
        </r>
      </text>
    </comment>
    <comment ref="I18" authorId="0">
      <text>
        <r>
          <rPr>
            <sz val="9"/>
            <rFont val="宋体"/>
            <family val="0"/>
          </rPr>
          <t>User:
2011年配网工程宋家沟新增配变1台30KVA。</t>
        </r>
      </text>
    </comment>
    <comment ref="F19" authorId="0">
      <text>
        <r>
          <rPr>
            <sz val="9"/>
            <rFont val="宋体"/>
            <family val="0"/>
          </rPr>
          <t>User:
2011年配网工程新建线路6.33KM。</t>
        </r>
      </text>
    </comment>
    <comment ref="F20" authorId="0">
      <text>
        <r>
          <rPr>
            <sz val="9"/>
            <rFont val="宋体"/>
            <family val="0"/>
          </rPr>
          <t>User:
2011年配网工程新建线路6.016KM。6月份下井改为专线间隔，线路31.72KM线路并入下方运行。</t>
        </r>
      </text>
    </comment>
    <comment ref="I20" authorId="0">
      <text>
        <r>
          <rPr>
            <sz val="9"/>
            <rFont val="宋体"/>
            <family val="0"/>
          </rPr>
          <t>User:
2011年配网工程新增配变刘老庄1台20KVA，安坪1台30KVA，闫家湾1台20KVA，蛇河沟1台30KVA。6月份下井4台农网配变130KVA并入下方运行。</t>
        </r>
      </text>
    </comment>
    <comment ref="K20" authorId="0">
      <text>
        <r>
          <rPr>
            <sz val="9"/>
            <rFont val="宋体"/>
            <family val="0"/>
          </rPr>
          <t>User:
新增用户配变80KVA/1台。</t>
        </r>
      </text>
    </comment>
    <comment ref="F22" authorId="2">
      <text>
        <r>
          <rPr>
            <sz val="9"/>
            <rFont val="宋体"/>
            <family val="0"/>
          </rPr>
          <t>微软中国:
下井馈路于6月份改为下寺湾采油厂专线间隔，原下井31.72km农网线路并入下方馈路运行。</t>
        </r>
      </text>
    </comment>
    <comment ref="G22" authorId="0">
      <text>
        <r>
          <rPr>
            <sz val="9"/>
            <rFont val="宋体"/>
            <family val="0"/>
          </rPr>
          <t>User:
于6月份改为采油厂专线间隔</t>
        </r>
      </text>
    </comment>
    <comment ref="F24" authorId="0">
      <text>
        <r>
          <rPr>
            <sz val="9"/>
            <rFont val="宋体"/>
            <family val="0"/>
          </rPr>
          <t>User:
2011年配网工程新增馈路5.68km</t>
        </r>
      </text>
    </comment>
    <comment ref="G24" authorId="0">
      <text>
        <r>
          <rPr>
            <sz val="9"/>
            <rFont val="宋体"/>
            <family val="0"/>
          </rPr>
          <t>User:
6月份将下方采油厂线路79.662km带入下蚂馈路运行。</t>
        </r>
      </text>
    </comment>
    <comment ref="F25" authorId="0">
      <text>
        <r>
          <rPr>
            <sz val="9"/>
            <rFont val="宋体"/>
            <family val="0"/>
          </rPr>
          <t>User:
2011年配网工程新增馈路5.38km</t>
        </r>
      </text>
    </comment>
    <comment ref="G25" authorId="0">
      <text>
        <r>
          <rPr>
            <sz val="9"/>
            <rFont val="宋体"/>
            <family val="0"/>
          </rPr>
          <t>User:
6月份将下方采油厂线路44.318km带入下芋馈路运行。</t>
        </r>
      </text>
    </comment>
    <comment ref="F26" authorId="0">
      <text>
        <r>
          <rPr>
            <sz val="9"/>
            <rFont val="宋体"/>
            <family val="0"/>
          </rPr>
          <t>User:
2011年配网工程新建线路3.002KM。</t>
        </r>
      </text>
    </comment>
    <comment ref="I26" authorId="0">
      <text>
        <r>
          <rPr>
            <sz val="9"/>
            <rFont val="宋体"/>
            <family val="0"/>
          </rPr>
          <t>User:
2011年配网工程新增配变道镇1台80KVA，六里峁1台50KVA。</t>
        </r>
      </text>
    </comment>
    <comment ref="K26" authorId="0">
      <text>
        <r>
          <rPr>
            <sz val="9"/>
            <rFont val="宋体"/>
            <family val="0"/>
          </rPr>
          <t>User:
新增用户配变50KVA/2台。</t>
        </r>
      </text>
    </comment>
    <comment ref="G28" authorId="0">
      <text>
        <r>
          <rPr>
            <sz val="9"/>
            <rFont val="宋体"/>
            <family val="0"/>
          </rPr>
          <t>User:
11月份采油厂新增线路0.08km。</t>
        </r>
      </text>
    </comment>
    <comment ref="G29" authorId="0">
      <text>
        <r>
          <rPr>
            <sz val="9"/>
            <rFont val="宋体"/>
            <family val="0"/>
          </rPr>
          <t>User:
11月份采油厂新增线路11.62km。</t>
        </r>
      </text>
    </comment>
    <comment ref="K29" authorId="0">
      <text>
        <r>
          <rPr>
            <sz val="9"/>
            <rFont val="宋体"/>
            <family val="0"/>
          </rPr>
          <t>User:
新增采油厂配变770KVA/12台.</t>
        </r>
      </text>
    </comment>
    <comment ref="AC29" authorId="1">
      <text>
        <r>
          <rPr>
            <sz val="9"/>
            <rFont val="宋体"/>
            <family val="0"/>
          </rPr>
          <t>微软系统:
与六三馈路电量在一起</t>
        </r>
      </text>
    </comment>
    <comment ref="K30" authorId="0">
      <text>
        <r>
          <rPr>
            <sz val="9"/>
            <rFont val="宋体"/>
            <family val="0"/>
          </rPr>
          <t>User:
新增用户配变800KVA/1台，315KVA/1台，30KVA/台，80KVA/1台，250KVA/1台，500KVA/2台。</t>
        </r>
      </text>
    </comment>
    <comment ref="R30" authorId="3">
      <text>
        <r>
          <rPr>
            <sz val="9"/>
            <rFont val="宋体"/>
            <family val="0"/>
          </rPr>
          <t>Lenovo User:
增加1台开关。</t>
        </r>
      </text>
    </comment>
  </commentList>
</comments>
</file>

<file path=xl/comments6.xml><?xml version="1.0" encoding="utf-8"?>
<comments xmlns="http://schemas.openxmlformats.org/spreadsheetml/2006/main">
  <authors>
    <author>雨林木风</author>
    <author>Windows 用户</author>
  </authors>
  <commentList>
    <comment ref="G7" authorId="0">
      <text>
        <r>
          <rPr>
            <sz val="9"/>
            <rFont val="宋体"/>
            <family val="0"/>
          </rPr>
          <t xml:space="preserve">164高西线杜寨养猪场新建10KV线路0.16KM；
</t>
        </r>
      </text>
    </comment>
    <comment ref="J7" authorId="1">
      <text>
        <r>
          <rPr>
            <sz val="9"/>
            <rFont val="宋体"/>
            <family val="0"/>
          </rPr>
          <t xml:space="preserve">1、新增高桥公网4号变1台30KVA。
</t>
        </r>
      </text>
    </comment>
    <comment ref="L7" authorId="1">
      <text>
        <r>
          <rPr>
            <sz val="9"/>
            <rFont val="宋体"/>
            <family val="0"/>
          </rPr>
          <t>Windows 用户:
1、新增用户变2台、容量360KVA。</t>
        </r>
      </text>
    </comment>
    <comment ref="L8" authorId="1">
      <text>
        <r>
          <rPr>
            <sz val="9"/>
            <rFont val="宋体"/>
            <family val="0"/>
          </rPr>
          <t>Windows 用户:
1、用户变增加2台，容量合计150KVA。</t>
        </r>
      </text>
    </comment>
    <comment ref="F9" authorId="1">
      <text>
        <r>
          <rPr>
            <sz val="9"/>
            <rFont val="宋体"/>
            <family val="0"/>
          </rPr>
          <t>Windows 用户:
1、玉米沟支线延伸1.13KM。</t>
        </r>
      </text>
    </comment>
    <comment ref="J9" authorId="1">
      <text>
        <r>
          <rPr>
            <sz val="9"/>
            <rFont val="宋体"/>
            <family val="0"/>
          </rPr>
          <t>Windows 用户:
1、局属变增加1台，容量20KVA。</t>
        </r>
      </text>
    </comment>
    <comment ref="L10" authorId="1">
      <text>
        <r>
          <rPr>
            <sz val="9"/>
            <rFont val="宋体"/>
            <family val="0"/>
          </rPr>
          <t>Windows 用户:
1、用户变增加1台，50KVA。</t>
        </r>
      </text>
    </comment>
    <comment ref="G12" authorId="1">
      <text>
        <r>
          <rPr>
            <sz val="9"/>
            <rFont val="宋体"/>
            <family val="0"/>
          </rPr>
          <t>Windows 用户:
齐齐火锅新建线路0.075KM、李圪塔大棚新建线路0.753KM。</t>
        </r>
      </text>
    </comment>
    <comment ref="L12" authorId="1">
      <text>
        <r>
          <rPr>
            <sz val="9"/>
            <rFont val="宋体"/>
            <family val="0"/>
          </rPr>
          <t>Windows 用户:
用户变增加3台，容量合计570KVA</t>
        </r>
      </text>
    </comment>
    <comment ref="R12" authorId="0">
      <text>
        <r>
          <rPr>
            <sz val="9"/>
            <rFont val="宋体"/>
            <family val="0"/>
          </rPr>
          <t>增加
 38台真空开关（包括开闭所开关）</t>
        </r>
      </text>
    </comment>
    <comment ref="L13" authorId="1">
      <text>
        <r>
          <rPr>
            <sz val="9"/>
            <rFont val="宋体"/>
            <family val="0"/>
          </rPr>
          <t>Windows 用户:
增加用户变1台，容量200KVA</t>
        </r>
      </text>
    </comment>
    <comment ref="B15" authorId="0">
      <text>
        <r>
          <rPr>
            <sz val="9"/>
            <rFont val="宋体"/>
            <family val="0"/>
          </rPr>
          <t>2011年新增专线馈路
与热泵1，热泵2互为备用</t>
        </r>
      </text>
    </comment>
    <comment ref="B16" authorId="0">
      <text>
        <r>
          <rPr>
            <sz val="9"/>
            <rFont val="宋体"/>
            <family val="0"/>
          </rPr>
          <t>将原线路分割为安沿线、龙侯线和龙杨线，线路减少6.14KM。</t>
        </r>
      </text>
    </comment>
    <comment ref="B17" authorId="0">
      <text>
        <r>
          <rPr>
            <sz val="9"/>
            <rFont val="宋体"/>
            <family val="0"/>
          </rPr>
          <t>2011年新增专线馈路</t>
        </r>
      </text>
    </comment>
    <comment ref="B18" authorId="0">
      <text>
        <r>
          <rPr>
            <sz val="9"/>
            <rFont val="宋体"/>
            <family val="0"/>
          </rPr>
          <t>2011年新增专线馈路
与延长一号互为备用</t>
        </r>
      </text>
    </comment>
    <comment ref="B19" authorId="0">
      <text>
        <r>
          <rPr>
            <sz val="9"/>
            <rFont val="宋体"/>
            <family val="0"/>
          </rPr>
          <t xml:space="preserve">2011年新增馈路
</t>
        </r>
      </text>
    </comment>
    <comment ref="J19" authorId="1">
      <text>
        <r>
          <rPr>
            <sz val="9"/>
            <rFont val="宋体"/>
            <family val="0"/>
          </rPr>
          <t>Windows 用户:
增加配变1台，容量30KVA。</t>
        </r>
      </text>
    </comment>
    <comment ref="L19" authorId="1">
      <text>
        <r>
          <rPr>
            <sz val="9"/>
            <rFont val="宋体"/>
            <family val="0"/>
          </rPr>
          <t>Windows 用户:
用户变增加2台，容量500KVA</t>
        </r>
      </text>
    </comment>
    <comment ref="R19" authorId="0">
      <text>
        <r>
          <rPr>
            <sz val="9"/>
            <rFont val="宋体"/>
            <family val="0"/>
          </rPr>
          <t>增加
 2台线路真空开关</t>
        </r>
      </text>
    </comment>
    <comment ref="B20" authorId="0">
      <text>
        <r>
          <rPr>
            <sz val="9"/>
            <rFont val="宋体"/>
            <family val="0"/>
          </rPr>
          <t xml:space="preserve">2011年新增馈路
</t>
        </r>
      </text>
    </comment>
    <comment ref="L20" authorId="1">
      <text>
        <r>
          <rPr>
            <sz val="9"/>
            <rFont val="宋体"/>
            <family val="0"/>
          </rPr>
          <t>Windows 用户:
新增用户变2台，400KVA；</t>
        </r>
      </text>
    </comment>
    <comment ref="R20" authorId="0">
      <text>
        <r>
          <rPr>
            <sz val="9"/>
            <rFont val="宋体"/>
            <family val="0"/>
          </rPr>
          <t>增加
 3台线路真空开关</t>
        </r>
      </text>
    </comment>
    <comment ref="B21" authorId="0">
      <text>
        <r>
          <rPr>
            <sz val="9"/>
            <rFont val="宋体"/>
            <family val="0"/>
          </rPr>
          <t>2011年新增馈路</t>
        </r>
      </text>
    </comment>
    <comment ref="L21" authorId="1">
      <text>
        <r>
          <rPr>
            <sz val="9"/>
            <rFont val="宋体"/>
            <family val="0"/>
          </rPr>
          <t>Windows 用户:
新增配变1台，容量250KVA</t>
        </r>
      </text>
    </comment>
    <comment ref="R23" authorId="0">
      <text>
        <r>
          <rPr>
            <sz val="9"/>
            <rFont val="宋体"/>
            <family val="0"/>
          </rPr>
          <t>增加
 1台线路真空开关</t>
        </r>
      </text>
    </comment>
    <comment ref="F24" authorId="1">
      <text>
        <r>
          <rPr>
            <sz val="9"/>
            <rFont val="宋体"/>
            <family val="0"/>
          </rPr>
          <t>Windows 用户:
化贺线牛庄沟支线延伸0.83KM；</t>
        </r>
      </text>
    </comment>
    <comment ref="J24" authorId="1">
      <text>
        <r>
          <rPr>
            <sz val="9"/>
            <rFont val="宋体"/>
            <family val="0"/>
          </rPr>
          <t>Windows 用户:
新增局属变1台，20KVA；</t>
        </r>
      </text>
    </comment>
    <comment ref="R24" authorId="0">
      <text>
        <r>
          <rPr>
            <sz val="9"/>
            <rFont val="宋体"/>
            <family val="0"/>
          </rPr>
          <t>增加
 3台线路真空开关</t>
        </r>
      </text>
    </comment>
    <comment ref="B25" authorId="1">
      <text>
        <r>
          <rPr>
            <sz val="9"/>
            <rFont val="宋体"/>
            <family val="0"/>
          </rPr>
          <t>Windows 用户:
钻采公司全部切走，线路54.645KM，配变132台，容量16235KVA；</t>
        </r>
      </text>
    </comment>
    <comment ref="R25" authorId="0">
      <text>
        <r>
          <rPr>
            <sz val="9"/>
            <rFont val="宋体"/>
            <family val="0"/>
          </rPr>
          <t>增加
 1台线路真空开关</t>
        </r>
      </text>
    </comment>
    <comment ref="F26" authorId="1">
      <text>
        <r>
          <rPr>
            <sz val="9"/>
            <rFont val="宋体"/>
            <family val="0"/>
          </rPr>
          <t>Windows 用户:
局属线路共计减少3.525KM（因钻采公司迁出4.3KM，新增潘家沟支线0.775KM）。</t>
        </r>
      </text>
    </comment>
    <comment ref="G26" authorId="1">
      <text>
        <r>
          <rPr>
            <sz val="9"/>
            <rFont val="宋体"/>
            <family val="0"/>
          </rPr>
          <t>Windows 用户:
用户线路增加0.175KM（老洼界大棚0.11KM、新尧坪养鸡场0.065KM）。</t>
        </r>
      </text>
    </comment>
    <comment ref="J26" authorId="1">
      <text>
        <r>
          <rPr>
            <sz val="9"/>
            <rFont val="宋体"/>
            <family val="0"/>
          </rPr>
          <t>Windows 用户:
局属变增加1台30KVA；</t>
        </r>
      </text>
    </comment>
    <comment ref="L26" authorId="1">
      <text>
        <r>
          <rPr>
            <sz val="9"/>
            <rFont val="宋体"/>
            <family val="0"/>
          </rPr>
          <t>Windows 用户:
用户变增加2台160KVA；钻采公司迁出48台4205KVA；</t>
        </r>
      </text>
    </comment>
    <comment ref="R26" authorId="0">
      <text>
        <r>
          <rPr>
            <sz val="9"/>
            <rFont val="宋体"/>
            <family val="0"/>
          </rPr>
          <t>增加
 1台线路真空开关</t>
        </r>
      </text>
    </comment>
    <comment ref="G27" authorId="1">
      <text>
        <r>
          <rPr>
            <sz val="9"/>
            <rFont val="宋体"/>
            <family val="0"/>
          </rPr>
          <t>Windows 用户:
用户线路增加0.7KM（石家岸大棚增加0.7KM）</t>
        </r>
      </text>
    </comment>
    <comment ref="L27" authorId="1">
      <text>
        <r>
          <rPr>
            <sz val="9"/>
            <rFont val="宋体"/>
            <family val="0"/>
          </rPr>
          <t>Windows 用户:
用户变增加2台145KVA；
钻采公司迁出30台，总容量2500KVA；</t>
        </r>
      </text>
    </comment>
    <comment ref="R27" authorId="0">
      <text>
        <r>
          <rPr>
            <sz val="9"/>
            <rFont val="宋体"/>
            <family val="0"/>
          </rPr>
          <t>增加
 1台线路真空开关</t>
        </r>
      </text>
    </comment>
    <comment ref="F28" authorId="1">
      <text>
        <r>
          <rPr>
            <sz val="9"/>
            <rFont val="宋体"/>
            <family val="0"/>
          </rPr>
          <t>Windows 用户:
局属线路增加1.455KM（高桐沟支线延伸1.455KM）</t>
        </r>
      </text>
    </comment>
    <comment ref="J28" authorId="1">
      <text>
        <r>
          <rPr>
            <sz val="9"/>
            <rFont val="宋体"/>
            <family val="0"/>
          </rPr>
          <t>Windows 用户:
局属变增加1台20KVA；</t>
        </r>
      </text>
    </comment>
    <comment ref="L28" authorId="1">
      <text>
        <r>
          <rPr>
            <sz val="9"/>
            <rFont val="宋体"/>
            <family val="0"/>
          </rPr>
          <t>Windows 用户:
用户变增加1台200KVA；</t>
        </r>
      </text>
    </comment>
    <comment ref="R29" authorId="0">
      <text>
        <r>
          <rPr>
            <sz val="9"/>
            <rFont val="宋体"/>
            <family val="0"/>
          </rPr>
          <t>增加
 1台线路真空开关</t>
        </r>
      </text>
    </comment>
    <comment ref="B30" authorId="0">
      <text>
        <r>
          <rPr>
            <sz val="9"/>
            <rFont val="宋体"/>
            <family val="0"/>
          </rPr>
          <t xml:space="preserve">与输油专线，热泵2互为备用
</t>
        </r>
      </text>
    </comment>
    <comment ref="B31" authorId="0">
      <text>
        <r>
          <rPr>
            <sz val="9"/>
            <rFont val="宋体"/>
            <family val="0"/>
          </rPr>
          <t>与输油专线，热泵1互为备用</t>
        </r>
      </text>
    </comment>
    <comment ref="F32" authorId="1">
      <text>
        <r>
          <rPr>
            <sz val="9"/>
            <rFont val="宋体"/>
            <family val="0"/>
          </rPr>
          <t>Windows 用户:
局属线路增加1.2KM（井道峁支线延伸1.2KM）</t>
        </r>
      </text>
    </comment>
    <comment ref="J32" authorId="1">
      <text>
        <r>
          <rPr>
            <sz val="9"/>
            <rFont val="宋体"/>
            <family val="0"/>
          </rPr>
          <t>Windows 用户:
局属变增加1台20KVA；</t>
        </r>
      </text>
    </comment>
    <comment ref="L32" authorId="1">
      <text>
        <r>
          <rPr>
            <sz val="9"/>
            <rFont val="宋体"/>
            <family val="0"/>
          </rPr>
          <t>Windows 用户:
钻采公司切出36台配变5510KVA；</t>
        </r>
      </text>
    </comment>
  </commentList>
</comments>
</file>

<file path=xl/comments7.xml><?xml version="1.0" encoding="utf-8"?>
<comments xmlns="http://schemas.openxmlformats.org/spreadsheetml/2006/main">
  <authors>
    <author>微软用户</author>
    <author>user</author>
  </authors>
  <commentList>
    <comment ref="B7" authorId="0">
      <text>
        <r>
          <rPr>
            <sz val="9"/>
            <rFont val="宋体"/>
            <family val="0"/>
          </rPr>
          <t xml:space="preserve">微软用户:
有延川110KV变电站供电
</t>
        </r>
      </text>
    </comment>
    <comment ref="B8" authorId="0">
      <text>
        <r>
          <rPr>
            <sz val="9"/>
            <rFont val="宋体"/>
            <family val="0"/>
          </rPr>
          <t>微软用户:
有35KV城关变供电</t>
        </r>
      </text>
    </comment>
    <comment ref="B9" authorId="0">
      <text>
        <r>
          <rPr>
            <sz val="9"/>
            <rFont val="宋体"/>
            <family val="0"/>
          </rPr>
          <t>微软用户:
有110KV延川变供电</t>
        </r>
      </text>
    </comment>
    <comment ref="B10" authorId="0">
      <text>
        <r>
          <rPr>
            <sz val="9"/>
            <rFont val="宋体"/>
            <family val="0"/>
          </rPr>
          <t>微软用户:
有35KV城关变供电</t>
        </r>
      </text>
    </comment>
    <comment ref="F11" authorId="1">
      <text>
        <r>
          <rPr>
            <sz val="9"/>
            <rFont val="宋体"/>
            <family val="0"/>
          </rPr>
          <t>user:
11年升级工程新建手拉手线路8.718公里。</t>
        </r>
      </text>
    </comment>
    <comment ref="F12" authorId="1">
      <text>
        <r>
          <rPr>
            <sz val="9"/>
            <rFont val="宋体"/>
            <family val="0"/>
          </rPr>
          <t>user:
11年新建改造1.93公里</t>
        </r>
      </text>
    </comment>
    <comment ref="G16" authorId="0">
      <text>
        <r>
          <rPr>
            <sz val="9"/>
            <rFont val="宋体"/>
            <family val="0"/>
          </rPr>
          <t>微软用户:增加线路0.2KM；</t>
        </r>
      </text>
    </comment>
    <comment ref="K16" authorId="0">
      <text>
        <r>
          <rPr>
            <sz val="9"/>
            <rFont val="宋体"/>
            <family val="0"/>
          </rPr>
          <t>微软用户:
容量增加630+500+500+400</t>
        </r>
      </text>
    </comment>
    <comment ref="L16" authorId="0">
      <text>
        <r>
          <rPr>
            <sz val="9"/>
            <rFont val="宋体"/>
            <family val="0"/>
          </rPr>
          <t>微软用户:
延延高速工程：增加配变4台，630+500+500+400</t>
        </r>
      </text>
    </comment>
    <comment ref="G24" authorId="0">
      <text>
        <r>
          <rPr>
            <sz val="9"/>
            <rFont val="宋体"/>
            <family val="0"/>
          </rPr>
          <t>微软用户:
线路增加0.8KM,1.6km；</t>
        </r>
      </text>
    </comment>
    <comment ref="L24" authorId="0">
      <text>
        <r>
          <rPr>
            <sz val="9"/>
            <rFont val="宋体"/>
            <family val="0"/>
          </rPr>
          <t>微软用户:
增加配变两台，引黄工程I、II标段，400KVA\630KVA.</t>
        </r>
      </text>
    </comment>
    <comment ref="G28" authorId="0">
      <text>
        <r>
          <rPr>
            <sz val="9"/>
            <rFont val="宋体"/>
            <family val="0"/>
          </rPr>
          <t>微软用户:
引黄工程：增加线路0.12KM。</t>
        </r>
      </text>
    </comment>
    <comment ref="K28" authorId="0">
      <text>
        <r>
          <rPr>
            <sz val="9"/>
            <rFont val="宋体"/>
            <family val="0"/>
          </rPr>
          <t>微增加400+500+400容量</t>
        </r>
      </text>
    </comment>
    <comment ref="L28" authorId="0">
      <text>
        <r>
          <rPr>
            <sz val="9"/>
            <rFont val="宋体"/>
            <family val="0"/>
          </rPr>
          <t>微软用户:
配变增加三台，三标、四标、五标段，400、500、400KVA;</t>
        </r>
      </text>
    </comment>
    <comment ref="B30" authorId="0">
      <text>
        <r>
          <rPr>
            <sz val="9"/>
            <rFont val="宋体"/>
            <family val="0"/>
          </rPr>
          <t xml:space="preserve">微软用户:110KV变电站
</t>
        </r>
      </text>
    </comment>
    <comment ref="B31" authorId="0">
      <text>
        <r>
          <rPr>
            <sz val="9"/>
            <rFont val="宋体"/>
            <family val="0"/>
          </rPr>
          <t>微软用户:
110KV变电站</t>
        </r>
      </text>
    </comment>
    <comment ref="B32" authorId="0">
      <text>
        <r>
          <rPr>
            <sz val="9"/>
            <rFont val="宋体"/>
            <family val="0"/>
          </rPr>
          <t>微软用户:
110KV变电站</t>
        </r>
      </text>
    </comment>
  </commentList>
</comments>
</file>

<file path=xl/comments8.xml><?xml version="1.0" encoding="utf-8"?>
<comments xmlns="http://schemas.openxmlformats.org/spreadsheetml/2006/main">
  <authors>
    <author>USER</author>
    <author>999宝藏网</author>
    <author>Lenovo User</author>
  </authors>
  <commentList>
    <comment ref="S5" authorId="0">
      <text>
        <r>
          <rPr>
            <sz val="9"/>
            <rFont val="宋体"/>
            <family val="0"/>
          </rPr>
          <t>USER:
2011年9月底统计数据</t>
        </r>
      </text>
    </comment>
    <comment ref="F8" authorId="1">
      <text>
        <r>
          <rPr>
            <sz val="9"/>
            <rFont val="宋体"/>
            <family val="0"/>
          </rPr>
          <t>999宝藏网:
2012年新增1.63km</t>
        </r>
      </text>
    </comment>
    <comment ref="R8" authorId="1">
      <text>
        <r>
          <rPr>
            <sz val="9"/>
            <rFont val="宋体"/>
            <family val="0"/>
          </rPr>
          <t xml:space="preserve">2012年新增1台
</t>
        </r>
      </text>
    </comment>
    <comment ref="G9" authorId="1">
      <text>
        <r>
          <rPr>
            <sz val="9"/>
            <rFont val="宋体"/>
            <family val="0"/>
          </rPr>
          <t>999宝藏网:
2012年新增0.07km</t>
        </r>
      </text>
    </comment>
    <comment ref="F11" authorId="1">
      <text>
        <r>
          <rPr>
            <sz val="9"/>
            <rFont val="宋体"/>
            <family val="0"/>
          </rPr>
          <t>999宝藏网:
2012年新增1.515</t>
        </r>
      </text>
    </comment>
    <comment ref="K11" authorId="1">
      <text>
        <r>
          <rPr>
            <sz val="9"/>
            <rFont val="宋体"/>
            <family val="0"/>
          </rPr>
          <t xml:space="preserve">2012年新增150KVA/3台
</t>
        </r>
      </text>
    </comment>
    <comment ref="F12" authorId="2">
      <text>
        <r>
          <rPr>
            <sz val="9"/>
            <rFont val="宋体"/>
            <family val="0"/>
          </rPr>
          <t xml:space="preserve">
2012年新增2.1km</t>
        </r>
      </text>
    </comment>
    <comment ref="I12" authorId="1">
      <text>
        <r>
          <rPr>
            <sz val="9"/>
            <rFont val="宋体"/>
            <family val="0"/>
          </rPr>
          <t>999宝藏网:
2012年新增140KVA</t>
        </r>
      </text>
    </comment>
    <comment ref="J12" authorId="1">
      <text>
        <r>
          <rPr>
            <sz val="9"/>
            <rFont val="宋体"/>
            <family val="0"/>
          </rPr>
          <t>999宝藏网:
2012年新增7台</t>
        </r>
      </text>
    </comment>
    <comment ref="R12" authorId="1">
      <text>
        <r>
          <rPr>
            <sz val="9"/>
            <rFont val="宋体"/>
            <family val="0"/>
          </rPr>
          <t xml:space="preserve">2012年新增1台
</t>
        </r>
      </text>
    </comment>
    <comment ref="G13" authorId="1">
      <text>
        <r>
          <rPr>
            <sz val="9"/>
            <rFont val="宋体"/>
            <family val="0"/>
          </rPr>
          <t>999宝藏网:
2012年新增1.056km</t>
        </r>
      </text>
    </comment>
    <comment ref="K13" authorId="2">
      <text>
        <r>
          <rPr>
            <sz val="9"/>
            <rFont val="宋体"/>
            <family val="0"/>
          </rPr>
          <t xml:space="preserve">
2012年新增负荷250KVA/1台</t>
        </r>
      </text>
    </comment>
    <comment ref="K15" authorId="1">
      <text>
        <r>
          <rPr>
            <sz val="9"/>
            <rFont val="宋体"/>
            <family val="0"/>
          </rPr>
          <t xml:space="preserve">2012年新增160KVA/1台
</t>
        </r>
      </text>
    </comment>
    <comment ref="K16" authorId="1">
      <text>
        <r>
          <rPr>
            <sz val="9"/>
            <rFont val="宋体"/>
            <family val="0"/>
          </rPr>
          <t xml:space="preserve">2012年新增180KVA/3台
</t>
        </r>
      </text>
    </comment>
    <comment ref="F17" authorId="1">
      <text>
        <r>
          <rPr>
            <sz val="9"/>
            <rFont val="宋体"/>
            <family val="0"/>
          </rPr>
          <t>999宝藏网:
2012年新增1.6km</t>
        </r>
      </text>
    </comment>
    <comment ref="K17" authorId="1">
      <text>
        <r>
          <rPr>
            <sz val="9"/>
            <rFont val="宋体"/>
            <family val="0"/>
          </rPr>
          <t xml:space="preserve">2012年新增205KVA/2台
</t>
        </r>
      </text>
    </comment>
    <comment ref="K18" authorId="1">
      <text>
        <r>
          <rPr>
            <sz val="9"/>
            <rFont val="宋体"/>
            <family val="0"/>
          </rPr>
          <t xml:space="preserve">2012年新增30KVA/台
</t>
        </r>
      </text>
    </comment>
    <comment ref="R18" authorId="2">
      <text>
        <r>
          <rPr>
            <sz val="9"/>
            <rFont val="宋体"/>
            <family val="0"/>
          </rPr>
          <t xml:space="preserve">
2011年新增1台</t>
        </r>
      </text>
    </comment>
    <comment ref="K19" authorId="1">
      <text>
        <r>
          <rPr>
            <sz val="9"/>
            <rFont val="宋体"/>
            <family val="0"/>
          </rPr>
          <t xml:space="preserve">2012年新增80KVA/1台
</t>
        </r>
      </text>
    </comment>
    <comment ref="R19" authorId="2">
      <text>
        <r>
          <rPr>
            <sz val="9"/>
            <rFont val="宋体"/>
            <family val="0"/>
          </rPr>
          <t xml:space="preserve">
2011年新增1台</t>
        </r>
      </text>
    </comment>
    <comment ref="K20" authorId="2">
      <text>
        <r>
          <rPr>
            <sz val="9"/>
            <rFont val="宋体"/>
            <family val="0"/>
          </rPr>
          <t xml:space="preserve">
2012年新增负荷130KVA/2台</t>
        </r>
      </text>
    </comment>
    <comment ref="G24" authorId="1">
      <text>
        <r>
          <rPr>
            <sz val="9"/>
            <rFont val="宋体"/>
            <family val="0"/>
          </rPr>
          <t>999宝藏网:
2012年新增0.06km</t>
        </r>
      </text>
    </comment>
  </commentList>
</comments>
</file>

<file path=xl/comments9.xml><?xml version="1.0" encoding="utf-8"?>
<comments xmlns="http://schemas.openxmlformats.org/spreadsheetml/2006/main">
  <authors>
    <author>微软用户</author>
    <author>三秒</author>
    <author>USER</author>
  </authors>
  <commentList>
    <comment ref="R7" authorId="0">
      <text>
        <r>
          <rPr>
            <sz val="9"/>
            <rFont val="宋体"/>
            <family val="0"/>
          </rPr>
          <t xml:space="preserve">微软用户:
增1台开关
</t>
        </r>
      </text>
    </comment>
    <comment ref="T7" authorId="0">
      <text>
        <r>
          <rPr>
            <sz val="9"/>
            <rFont val="宋体"/>
            <family val="0"/>
          </rPr>
          <t xml:space="preserve">微软用户:
增1台开关
</t>
        </r>
      </text>
    </comment>
    <comment ref="K9" authorId="1">
      <text>
        <r>
          <rPr>
            <sz val="9"/>
            <rFont val="宋体"/>
            <family val="0"/>
          </rPr>
          <t xml:space="preserve">三秒:
增280KVA/11
</t>
        </r>
      </text>
    </comment>
    <comment ref="R9" authorId="0">
      <text>
        <r>
          <rPr>
            <sz val="9"/>
            <rFont val="宋体"/>
            <family val="0"/>
          </rPr>
          <t xml:space="preserve">微软用户:
增3台开关
</t>
        </r>
      </text>
    </comment>
    <comment ref="T9" authorId="0">
      <text>
        <r>
          <rPr>
            <sz val="9"/>
            <rFont val="宋体"/>
            <family val="0"/>
          </rPr>
          <t xml:space="preserve">微软用户:
增3台开关
</t>
        </r>
      </text>
    </comment>
    <comment ref="G10" authorId="2">
      <text>
        <r>
          <rPr>
            <sz val="9"/>
            <rFont val="宋体"/>
            <family val="0"/>
          </rPr>
          <t>USER:
新增4.15KN线路</t>
        </r>
      </text>
    </comment>
    <comment ref="I10" authorId="1">
      <text>
        <r>
          <rPr>
            <sz val="9"/>
            <rFont val="宋体"/>
            <family val="0"/>
          </rPr>
          <t xml:space="preserve">三秒:
增110KVA/3台
</t>
        </r>
      </text>
    </comment>
    <comment ref="R10" authorId="0">
      <text>
        <r>
          <rPr>
            <sz val="9"/>
            <rFont val="宋体"/>
            <family val="0"/>
          </rPr>
          <t xml:space="preserve">微软用户:
增3台开关
</t>
        </r>
      </text>
    </comment>
    <comment ref="T10" authorId="0">
      <text>
        <r>
          <rPr>
            <sz val="9"/>
            <rFont val="宋体"/>
            <family val="0"/>
          </rPr>
          <t xml:space="preserve">微软用户:
增3台开关
</t>
        </r>
      </text>
    </comment>
    <comment ref="I13" authorId="1">
      <text>
        <r>
          <rPr>
            <sz val="9"/>
            <rFont val="宋体"/>
            <family val="0"/>
          </rPr>
          <t xml:space="preserve">三秒:
增750KVA/5台
</t>
        </r>
      </text>
    </comment>
    <comment ref="K13" authorId="1">
      <text>
        <r>
          <rPr>
            <sz val="9"/>
            <rFont val="宋体"/>
            <family val="0"/>
          </rPr>
          <t xml:space="preserve">三秒:
增1150KVA/19台
</t>
        </r>
      </text>
    </comment>
    <comment ref="R13" authorId="0">
      <text>
        <r>
          <rPr>
            <sz val="9"/>
            <rFont val="宋体"/>
            <family val="0"/>
          </rPr>
          <t xml:space="preserve">微软用户:
增1台开关
</t>
        </r>
      </text>
    </comment>
    <comment ref="T13" authorId="0">
      <text>
        <r>
          <rPr>
            <sz val="9"/>
            <rFont val="宋体"/>
            <family val="0"/>
          </rPr>
          <t xml:space="preserve">微软用户:
增1台开关
</t>
        </r>
      </text>
    </comment>
    <comment ref="I14" authorId="1">
      <text>
        <r>
          <rPr>
            <sz val="9"/>
            <rFont val="宋体"/>
            <family val="0"/>
          </rPr>
          <t xml:space="preserve">三秒:
1040KVA/10台
</t>
        </r>
      </text>
    </comment>
    <comment ref="K14" authorId="1">
      <text>
        <r>
          <rPr>
            <sz val="9"/>
            <rFont val="宋体"/>
            <family val="0"/>
          </rPr>
          <t xml:space="preserve">三秒:
2475KVA/49台 
</t>
        </r>
      </text>
    </comment>
    <comment ref="R14" authorId="0">
      <text>
        <r>
          <rPr>
            <sz val="9"/>
            <rFont val="宋体"/>
            <family val="0"/>
          </rPr>
          <t xml:space="preserve">微软用户:
增2台开关
</t>
        </r>
      </text>
    </comment>
    <comment ref="T14" authorId="0">
      <text>
        <r>
          <rPr>
            <sz val="9"/>
            <rFont val="宋体"/>
            <family val="0"/>
          </rPr>
          <t xml:space="preserve">微软用户:
增2台开关
</t>
        </r>
      </text>
    </comment>
    <comment ref="R18" authorId="0">
      <text>
        <r>
          <rPr>
            <sz val="9"/>
            <rFont val="宋体"/>
            <family val="0"/>
          </rPr>
          <t>微软用户:
增1台开关</t>
        </r>
      </text>
    </comment>
    <comment ref="T18" authorId="0">
      <text>
        <r>
          <rPr>
            <sz val="9"/>
            <rFont val="宋体"/>
            <family val="0"/>
          </rPr>
          <t>微软用户:
增1台开关</t>
        </r>
      </text>
    </comment>
    <comment ref="R27" authorId="0">
      <text>
        <r>
          <rPr>
            <sz val="9"/>
            <rFont val="宋体"/>
            <family val="0"/>
          </rPr>
          <t>微软用户:
增1台开关</t>
        </r>
      </text>
    </comment>
    <comment ref="T27" authorId="0">
      <text>
        <r>
          <rPr>
            <sz val="9"/>
            <rFont val="宋体"/>
            <family val="0"/>
          </rPr>
          <t>微软用户:
增1台开关</t>
        </r>
      </text>
    </comment>
    <comment ref="R28" authorId="0">
      <text>
        <r>
          <rPr>
            <sz val="9"/>
            <rFont val="宋体"/>
            <family val="0"/>
          </rPr>
          <t xml:space="preserve">微软用户:
增1台开关
</t>
        </r>
      </text>
    </comment>
    <comment ref="T28" authorId="0">
      <text>
        <r>
          <rPr>
            <sz val="9"/>
            <rFont val="宋体"/>
            <family val="0"/>
          </rPr>
          <t xml:space="preserve">微软用户:
增1台开关
</t>
        </r>
      </text>
    </comment>
  </commentList>
</comments>
</file>

<file path=xl/sharedStrings.xml><?xml version="1.0" encoding="utf-8"?>
<sst xmlns="http://schemas.openxmlformats.org/spreadsheetml/2006/main" count="4135" uniqueCount="1104">
  <si>
    <t>柞水县供电分公司2020年第四季度10千伏配电网接入能力和容量受限情况</t>
  </si>
  <si>
    <t>序号</t>
  </si>
  <si>
    <t xml:space="preserve"> 县公司</t>
  </si>
  <si>
    <t>变电站名称</t>
  </si>
  <si>
    <t>馈路名称</t>
  </si>
  <si>
    <t>装见配变容量（kVA）</t>
  </si>
  <si>
    <t>最大装见容量（kVA）</t>
  </si>
  <si>
    <t>剩余供电能力</t>
  </si>
  <si>
    <t>最大负载率（%）</t>
  </si>
  <si>
    <t>柞水</t>
  </si>
  <si>
    <t>110kV下梁变</t>
  </si>
  <si>
    <t>125药王线</t>
  </si>
  <si>
    <t>129石翁线</t>
  </si>
  <si>
    <t>130西川线</t>
  </si>
  <si>
    <t>131明星线</t>
  </si>
  <si>
    <t>132七坪线</t>
  </si>
  <si>
    <t>141市区II线</t>
  </si>
  <si>
    <t>145市区IV线</t>
  </si>
  <si>
    <t>145市区V线</t>
  </si>
  <si>
    <t>128市区I线</t>
  </si>
  <si>
    <t>122市区III线</t>
  </si>
  <si>
    <t>110kV窑镇变</t>
  </si>
  <si>
    <t>122窑镇线</t>
  </si>
  <si>
    <t>124蔡马线</t>
  </si>
  <si>
    <t>35kV明星变</t>
  </si>
  <si>
    <t>192棒材一线</t>
  </si>
  <si>
    <t>194棒材二线</t>
  </si>
  <si>
    <t>191板材一线</t>
  </si>
  <si>
    <t>193板材二线</t>
  </si>
  <si>
    <t>199溶洞线</t>
  </si>
  <si>
    <t>196红卫线</t>
  </si>
  <si>
    <t>35kV胜利变</t>
  </si>
  <si>
    <t>125高速路线</t>
  </si>
  <si>
    <t>123东坪线</t>
  </si>
  <si>
    <t>121选厂一线</t>
  </si>
  <si>
    <t>122选厂二线</t>
  </si>
  <si>
    <t>126二台子线</t>
  </si>
  <si>
    <t>35kV营药线</t>
  </si>
  <si>
    <t>162营药线</t>
  </si>
  <si>
    <t>165营林线</t>
  </si>
  <si>
    <t>166营牛线</t>
  </si>
  <si>
    <t>169营铁线</t>
  </si>
  <si>
    <t>35kV松林变</t>
  </si>
  <si>
    <t>151松石线</t>
  </si>
  <si>
    <t>158松林线</t>
  </si>
  <si>
    <t>160松隆线</t>
  </si>
  <si>
    <t>153松岭线</t>
  </si>
  <si>
    <t>154松正线</t>
  </si>
  <si>
    <t>155松铁线</t>
  </si>
  <si>
    <t>157松博线</t>
  </si>
  <si>
    <t>156松团I线</t>
  </si>
  <si>
    <t>152松团II线</t>
  </si>
  <si>
    <t>35kV曹坪变</t>
  </si>
  <si>
    <t>145曹丰线</t>
  </si>
  <si>
    <t>146曹九线</t>
  </si>
  <si>
    <t>147曹马线</t>
  </si>
  <si>
    <t>35k红岩寺变</t>
  </si>
  <si>
    <t>171万青线</t>
  </si>
  <si>
    <t>172瓦房口线</t>
  </si>
  <si>
    <t>174肖台II线</t>
  </si>
  <si>
    <t>173肖台线</t>
  </si>
  <si>
    <t>35kV黄金变</t>
  </si>
  <si>
    <t>181黄茨线</t>
  </si>
  <si>
    <t>182黄岭线</t>
  </si>
  <si>
    <t>184黄胡线</t>
  </si>
  <si>
    <t>185黄米线</t>
  </si>
  <si>
    <t>187黄蔡线</t>
  </si>
  <si>
    <t>110kV罗庄变</t>
  </si>
  <si>
    <t>134罗金线</t>
  </si>
  <si>
    <t>135罗西线</t>
  </si>
  <si>
    <t>136罗铅线</t>
  </si>
  <si>
    <t>138罗岭线</t>
  </si>
  <si>
    <t>139罗凤线</t>
  </si>
  <si>
    <t>140罗御I线</t>
  </si>
  <si>
    <t>141罗御II线</t>
  </si>
  <si>
    <t>145李砭线</t>
  </si>
  <si>
    <t>110kV杏坪变</t>
  </si>
  <si>
    <t>120黄金线</t>
  </si>
  <si>
    <t>141凤镇线</t>
  </si>
  <si>
    <t>142红岩寺线</t>
  </si>
  <si>
    <t>143柴庄线</t>
  </si>
  <si>
    <t>110kV七坪变</t>
  </si>
  <si>
    <t>112乾佑I线</t>
  </si>
  <si>
    <t>117乾佑II线</t>
  </si>
  <si>
    <t>114党家湾线</t>
  </si>
  <si>
    <t>119盈丰线</t>
  </si>
  <si>
    <t>113营镇线</t>
  </si>
  <si>
    <t>118北关线</t>
  </si>
  <si>
    <t>三星线</t>
  </si>
  <si>
    <t>柞水县供电分公司2021年第一季度10千伏配电网接入能力和容量受限情况</t>
  </si>
  <si>
    <t>147三星线</t>
  </si>
  <si>
    <t>148红星线</t>
  </si>
  <si>
    <t>175富强线</t>
  </si>
  <si>
    <t>145银川线</t>
  </si>
  <si>
    <t>146杏坪线</t>
  </si>
  <si>
    <t>柞水县供电分公司2021年第二季度10千伏配电网接入能力和容量受限情况</t>
  </si>
  <si>
    <t>柞水县供电分公司2021年第三季度10千伏配电网接入能力和容量受限情况</t>
  </si>
  <si>
    <t>2012年度10kV配网运行资产管理年报</t>
  </si>
  <si>
    <t>填报单位：（盖章）</t>
  </si>
  <si>
    <t>甘泉县供电分公司</t>
  </si>
  <si>
    <r>
      <t>填报日期</t>
    </r>
    <r>
      <rPr>
        <sz val="12"/>
        <rFont val="Times New Roman"/>
        <family val="1"/>
      </rPr>
      <t>:    2011</t>
    </r>
    <r>
      <rPr>
        <sz val="12"/>
        <rFont val="宋体"/>
        <family val="0"/>
      </rPr>
      <t>年 12 月 31 日</t>
    </r>
    <r>
      <rPr>
        <sz val="12"/>
        <rFont val="Times New Roman"/>
        <family val="1"/>
      </rPr>
      <t xml:space="preserve"> </t>
    </r>
  </si>
  <si>
    <r>
      <t>配网年报</t>
    </r>
    <r>
      <rPr>
        <sz val="12"/>
        <rFont val="Times New Roman"/>
        <family val="1"/>
      </rPr>
      <t xml:space="preserve"> 1</t>
    </r>
  </si>
  <si>
    <t>序</t>
  </si>
  <si>
    <t>馈路名</t>
  </si>
  <si>
    <t>性质</t>
  </si>
  <si>
    <t>线路长度</t>
  </si>
  <si>
    <r>
      <t>变压器</t>
    </r>
    <r>
      <rPr>
        <sz val="12"/>
        <rFont val="Times New Roman"/>
        <family val="1"/>
      </rPr>
      <t xml:space="preserve">   kVA   </t>
    </r>
    <r>
      <rPr>
        <sz val="12"/>
        <rFont val="宋体"/>
        <family val="0"/>
      </rPr>
      <t>台</t>
    </r>
  </si>
  <si>
    <t>丝</t>
  </si>
  <si>
    <t>避</t>
  </si>
  <si>
    <t>断路器（台）</t>
  </si>
  <si>
    <t>电容器</t>
  </si>
  <si>
    <t>电能表（只）</t>
  </si>
  <si>
    <t>成套</t>
  </si>
  <si>
    <t>互感器</t>
  </si>
  <si>
    <t>售电</t>
  </si>
  <si>
    <t>线损</t>
  </si>
  <si>
    <t>公</t>
  </si>
  <si>
    <t>农</t>
  </si>
  <si>
    <t>专</t>
  </si>
  <si>
    <t>km</t>
  </si>
  <si>
    <t>局属</t>
  </si>
  <si>
    <t>用户</t>
  </si>
  <si>
    <t>小计</t>
  </si>
  <si>
    <t>雷</t>
  </si>
  <si>
    <r>
      <t>（</t>
    </r>
    <r>
      <rPr>
        <sz val="12"/>
        <rFont val="Times New Roman"/>
        <family val="1"/>
      </rPr>
      <t>kvar,</t>
    </r>
    <r>
      <rPr>
        <sz val="12"/>
        <rFont val="宋体"/>
        <family val="0"/>
      </rPr>
      <t>组）</t>
    </r>
  </si>
  <si>
    <t>单相</t>
  </si>
  <si>
    <t>三相</t>
  </si>
  <si>
    <t>计量</t>
  </si>
  <si>
    <t>只</t>
  </si>
  <si>
    <t>量</t>
  </si>
  <si>
    <t>率</t>
  </si>
  <si>
    <t>具</t>
  </si>
  <si>
    <t>器</t>
  </si>
  <si>
    <t>真</t>
  </si>
  <si>
    <t>箱</t>
  </si>
  <si>
    <t>万千</t>
  </si>
  <si>
    <t>%</t>
  </si>
  <si>
    <t>号</t>
  </si>
  <si>
    <t>容量</t>
  </si>
  <si>
    <t>数量</t>
  </si>
  <si>
    <r>
      <t>SF</t>
    </r>
    <r>
      <rPr>
        <sz val="8"/>
        <rFont val="Times New Roman"/>
        <family val="1"/>
      </rPr>
      <t>6</t>
    </r>
  </si>
  <si>
    <t>空</t>
  </si>
  <si>
    <t>油</t>
  </si>
  <si>
    <t>有功</t>
  </si>
  <si>
    <t>无功</t>
  </si>
  <si>
    <t>套</t>
  </si>
  <si>
    <t>CT</t>
  </si>
  <si>
    <t>PT</t>
  </si>
  <si>
    <t>瓦时</t>
  </si>
  <si>
    <t>甘城</t>
  </si>
  <si>
    <t>*</t>
  </si>
  <si>
    <t>甘纤</t>
  </si>
  <si>
    <t>甘油</t>
  </si>
  <si>
    <t>甘劳</t>
  </si>
  <si>
    <t>甘姚专线</t>
  </si>
  <si>
    <t>劳白</t>
  </si>
  <si>
    <t>劳九</t>
  </si>
  <si>
    <t>劳苏</t>
  </si>
  <si>
    <t>劳马</t>
  </si>
  <si>
    <t>石油</t>
  </si>
  <si>
    <t>石白</t>
  </si>
  <si>
    <t>石北</t>
  </si>
  <si>
    <t>石张</t>
  </si>
  <si>
    <t>下方</t>
  </si>
  <si>
    <t>下洛</t>
  </si>
  <si>
    <t>下井</t>
  </si>
  <si>
    <t>下田</t>
  </si>
  <si>
    <t>下蚂</t>
  </si>
  <si>
    <t>下芋</t>
  </si>
  <si>
    <t>六兰</t>
  </si>
  <si>
    <t>六清</t>
  </si>
  <si>
    <t>六三</t>
  </si>
  <si>
    <t>六府</t>
  </si>
  <si>
    <r>
      <t>甘城</t>
    </r>
    <r>
      <rPr>
        <sz val="10"/>
        <rFont val="Times New Roman"/>
        <family val="1"/>
      </rPr>
      <t>152</t>
    </r>
  </si>
  <si>
    <t>下官专线</t>
  </si>
  <si>
    <t>备注：甘泉县供电分公司10KV配网线路增加40.34KM；其中局属10KV线路增加28.47KM；用户10KV线路增加11.87KM;(劳白增加0.17KM；六兰增加0.08KM；六府增加11.62KM线路。)用户增加8460KVA/37台；（152甘城线增加2475KVA/7台；劳白增加50KVA/1台；甘纤增加2555KVA/9台；下方增加80KVA/1台；112甘城线增加2430KVA/5台配变；六兰增加100KVA/2台；六府增加采油厂配变770KVA/12台。）增加真空开关3台，其中甘油增加真空开关1台；152甘城线增加真空开关1台；112甘城线增加真空开关1台。2011年中低压配网规程新增10KV线路28.47km，新增配变550KVA/13台。（石北馈路0.982KM，30KVA1台，；下方馈路6.016KM，30KVA/2台，20KVA/2台；甘城112馈路0.88KM；石张馈路6.33KM；六兰馈路3.002KM，配变80KVA/1台，50KVA/1台；石白馈路30KVA/1台；；甘油馈路0.2KM，配变100KVA/1台，30KVA/1台；下芋馈路5.38KM;下蚂馈路5.68KM；石油馈路50KVA/2台,30KVA/1台）。6月份下井馈路间隔改为下寺湾采油厂专线间隔，原农网4台配变及线路并入下方馈路运行。石油馈路与石张馈路电量在一起，六府馈路与六三馈路电量在一起。</t>
  </si>
  <si>
    <t>单位负责人：</t>
  </si>
  <si>
    <t>部门负责人：</t>
  </si>
  <si>
    <t>填报人：高海军</t>
  </si>
  <si>
    <t>安塞县供电分公司</t>
  </si>
  <si>
    <r>
      <t>填报日期</t>
    </r>
    <r>
      <rPr>
        <sz val="12"/>
        <rFont val="Times New Roman"/>
        <family val="1"/>
      </rPr>
      <t>: 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</si>
  <si>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分路丝具(组)</t>
  </si>
  <si>
    <t>164高西</t>
  </si>
  <si>
    <t>高楼</t>
  </si>
  <si>
    <t>招陇</t>
  </si>
  <si>
    <t>招王</t>
  </si>
  <si>
    <t>招石</t>
  </si>
  <si>
    <t>安城</t>
  </si>
  <si>
    <t>安龙</t>
  </si>
  <si>
    <t>石化厂</t>
  </si>
  <si>
    <t>输油专线</t>
  </si>
  <si>
    <t>安沿</t>
  </si>
  <si>
    <t>延长一号</t>
  </si>
  <si>
    <t>延长二号</t>
  </si>
  <si>
    <t>龙杨线</t>
  </si>
  <si>
    <t>龙侯线</t>
  </si>
  <si>
    <t>工业园专线</t>
  </si>
  <si>
    <t>化杨</t>
  </si>
  <si>
    <t>化镰</t>
  </si>
  <si>
    <t>化贺</t>
  </si>
  <si>
    <t>油贺</t>
  </si>
  <si>
    <t>东坪</t>
  </si>
  <si>
    <t>东郝</t>
  </si>
  <si>
    <t>东谭</t>
  </si>
  <si>
    <t>东沐</t>
  </si>
  <si>
    <t>热泵1</t>
  </si>
  <si>
    <t>热泵2</t>
  </si>
  <si>
    <t>镰罗</t>
  </si>
  <si>
    <t>镰新</t>
  </si>
  <si>
    <t>合计</t>
  </si>
  <si>
    <r>
      <t>备注</t>
    </r>
    <r>
      <rPr>
        <sz val="12"/>
        <rFont val="Times New Roman"/>
        <family val="1"/>
      </rPr>
      <t>:</t>
    </r>
  </si>
  <si>
    <t>填报人：</t>
  </si>
  <si>
    <t xml:space="preserve">填报日期:   2012年12月28日 </t>
  </si>
  <si>
    <t>城关一</t>
  </si>
  <si>
    <t>城关二</t>
  </si>
  <si>
    <t>窑镇</t>
  </si>
  <si>
    <t>窑王</t>
  </si>
  <si>
    <t>窑冯</t>
  </si>
  <si>
    <t>窑供</t>
  </si>
  <si>
    <t>丰董</t>
  </si>
  <si>
    <t>禹文</t>
  </si>
  <si>
    <t>禹张</t>
  </si>
  <si>
    <t>禹拓</t>
  </si>
  <si>
    <t>关刘</t>
  </si>
  <si>
    <t>关油</t>
  </si>
  <si>
    <t>关张</t>
  </si>
  <si>
    <t>延东</t>
  </si>
  <si>
    <t>延黄</t>
  </si>
  <si>
    <t>延牛</t>
  </si>
  <si>
    <t>稍杨</t>
  </si>
  <si>
    <t>稍土</t>
  </si>
  <si>
    <t>稍上</t>
  </si>
  <si>
    <t>城张</t>
  </si>
  <si>
    <t>城南</t>
  </si>
  <si>
    <t>延眼</t>
  </si>
  <si>
    <t>延曲</t>
  </si>
  <si>
    <t>延贺</t>
  </si>
  <si>
    <t>王军</t>
  </si>
  <si>
    <r>
      <t>填报日期</t>
    </r>
    <r>
      <rPr>
        <sz val="12"/>
        <rFont val="Times New Roman"/>
        <family val="1"/>
      </rPr>
      <t>:2012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</si>
  <si>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r>
      <t>配网年报</t>
    </r>
    <r>
      <rPr>
        <sz val="12"/>
        <rFont val="Times New Roman"/>
        <family val="1"/>
      </rPr>
      <t>01</t>
    </r>
  </si>
  <si>
    <t>刘家河190</t>
  </si>
  <si>
    <t>交口191</t>
  </si>
  <si>
    <t>城东193</t>
  </si>
  <si>
    <t>县城194</t>
  </si>
  <si>
    <t>安沟195</t>
  </si>
  <si>
    <t>关子口196</t>
  </si>
  <si>
    <t>煤矿专线111</t>
  </si>
  <si>
    <t>胡郭112</t>
  </si>
  <si>
    <t>胡杨113</t>
  </si>
  <si>
    <t>胡黑114</t>
  </si>
  <si>
    <t>老安121</t>
  </si>
  <si>
    <t>老雷123</t>
  </si>
  <si>
    <t>老张124</t>
  </si>
  <si>
    <t>郑关131</t>
  </si>
  <si>
    <t>郑石132</t>
  </si>
  <si>
    <t>郑张133</t>
  </si>
  <si>
    <t>郑庄134</t>
  </si>
  <si>
    <t>煤矿专线135</t>
  </si>
  <si>
    <t>富县供电分公司</t>
  </si>
  <si>
    <r>
      <t>填报日期</t>
    </r>
    <r>
      <rPr>
        <sz val="12"/>
        <rFont val="Times New Roman"/>
        <family val="1"/>
      </rPr>
      <t>:   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 xml:space="preserve"> 日</t>
    </r>
    <r>
      <rPr>
        <sz val="12"/>
        <rFont val="Times New Roman"/>
        <family val="1"/>
      </rPr>
      <t xml:space="preserve"> </t>
    </r>
  </si>
  <si>
    <t>牛菩</t>
  </si>
  <si>
    <t>直南</t>
  </si>
  <si>
    <t>直张</t>
  </si>
  <si>
    <t>直和</t>
  </si>
  <si>
    <t>直槐</t>
  </si>
  <si>
    <t>羊北</t>
  </si>
  <si>
    <t>羊吉</t>
  </si>
  <si>
    <t>羊钳</t>
  </si>
  <si>
    <t>上川</t>
  </si>
  <si>
    <t>下川</t>
  </si>
  <si>
    <t>岔口</t>
  </si>
  <si>
    <t>城区Ⅱ</t>
  </si>
  <si>
    <t>城区Ⅰ</t>
  </si>
  <si>
    <t>张南</t>
  </si>
  <si>
    <t>张桃</t>
  </si>
  <si>
    <t>张高</t>
  </si>
  <si>
    <t>张北</t>
  </si>
  <si>
    <t>水泥厂</t>
  </si>
  <si>
    <t>太安</t>
  </si>
  <si>
    <t>环城</t>
  </si>
  <si>
    <t>城政</t>
  </si>
  <si>
    <t>洛阳</t>
  </si>
  <si>
    <t>交道线</t>
  </si>
  <si>
    <t>牛煤线1</t>
  </si>
  <si>
    <t>牛煤线2</t>
  </si>
  <si>
    <t>张曹煤专</t>
  </si>
  <si>
    <t>新增张高10KV线路，为青兰高速公路专线，将张曹间隔给富源煤矿供电。</t>
  </si>
  <si>
    <t>王晓伟</t>
  </si>
  <si>
    <t>部门负责人：张国兴</t>
  </si>
  <si>
    <t>填报人：董彦斌、王瑛</t>
  </si>
  <si>
    <t>黄龙供电分公司</t>
  </si>
  <si>
    <r>
      <t>填报日期</t>
    </r>
    <r>
      <rPr>
        <sz val="12"/>
        <rFont val="Times New Roman"/>
        <family val="1"/>
      </rPr>
      <t>:      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</si>
  <si>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城网Ⅰ</t>
  </si>
  <si>
    <t>城网Ⅱ</t>
  </si>
  <si>
    <t>132黄李</t>
  </si>
  <si>
    <t>134黄榆</t>
  </si>
  <si>
    <t>黄三</t>
  </si>
  <si>
    <t>黄界</t>
  </si>
  <si>
    <t>406#信箱</t>
  </si>
  <si>
    <t>崾太</t>
  </si>
  <si>
    <t>崾瓦</t>
  </si>
  <si>
    <t>崾圪</t>
  </si>
  <si>
    <t>170台</t>
  </si>
  <si>
    <t>白柏</t>
  </si>
  <si>
    <t>白寺</t>
  </si>
  <si>
    <t>白西</t>
  </si>
  <si>
    <t>白红</t>
  </si>
  <si>
    <t>瓦小</t>
  </si>
  <si>
    <t>瓦蔡</t>
  </si>
  <si>
    <t>高速I</t>
  </si>
  <si>
    <t>备注：  局属线路黄界线路增加5.6KM(红罗义到椭圆线路增加2.3km；孙家塔到东沟埝增加线路2.85KM;贺家沟延伸线路0.45KM)。配变局属城网I增容80KVA,城网II增容80KVA,崾太增容80KVA（崾岘街道100KVA更换为160KVA;太地塬配变80KVA 更换为100KVA）,134黄榆增加100KVA/1台,黄界增加90KVA/3台（贺家沟增加20KVA/1台，东沟埝增加20KVA/1台，椭圆增加50KVA/台）。用户配变增加4795KVA/14台（116城网I：新增联通机站 30KVA/ 1台；118城网II：新增脱坯厂400KVA/1台、实验中学200KVA/1台、曹店安置小区630KVA/1台、东欣地产315KVA/1台、水务局630KVA/1台、印刷厂400KVA/1台，共增加2575KVA/6台；134黄榆馈路：新增公安局基建400KVA/1台、河滨花园630KVA/1台、森林公安50KVA/1台、虎沟门道班400KVA/1台,共增容1480KVA/4台；132黄李馈路：新增李延勇拌合场315KVA1台、八家梁小区315KVA1台，共增容630KVA/2台；白柏馈路下柏峪新村增加80KVA/1台）。线路增加丝具33只，避雷器33只。</t>
  </si>
  <si>
    <t>单位主管：</t>
  </si>
  <si>
    <r>
      <t>填报日期</t>
    </r>
    <r>
      <rPr>
        <sz val="12"/>
        <rFont val="Times New Roman"/>
        <family val="1"/>
      </rPr>
      <t>:         2012</t>
    </r>
    <r>
      <rPr>
        <sz val="12"/>
        <rFont val="宋体"/>
        <family val="0"/>
      </rPr>
      <t>年  12月 31 日</t>
    </r>
    <r>
      <rPr>
        <sz val="12"/>
        <rFont val="Times New Roman"/>
        <family val="1"/>
      </rPr>
      <t xml:space="preserve"> </t>
    </r>
  </si>
  <si>
    <t>111城南</t>
  </si>
  <si>
    <t>112薛家坪</t>
  </si>
  <si>
    <t>114农网</t>
  </si>
  <si>
    <t>115白家庄</t>
  </si>
  <si>
    <t>117秋林</t>
  </si>
  <si>
    <t>122壶口</t>
  </si>
  <si>
    <t>121景点</t>
  </si>
  <si>
    <t>123鹿川</t>
  </si>
  <si>
    <t>124哨皮</t>
  </si>
  <si>
    <t>125甘草</t>
  </si>
  <si>
    <t>126川口</t>
  </si>
  <si>
    <t>131牛家佃</t>
  </si>
  <si>
    <t>132阁楼</t>
  </si>
  <si>
    <t>134云岩</t>
  </si>
  <si>
    <t>135啊交</t>
  </si>
  <si>
    <t>148城区</t>
  </si>
  <si>
    <t>144交里</t>
  </si>
  <si>
    <t>145英旺</t>
  </si>
  <si>
    <t>155英新</t>
  </si>
  <si>
    <t>152英茹</t>
  </si>
  <si>
    <t>154庙湾</t>
  </si>
  <si>
    <t xml:space="preserve">说明：宜川县供电分公司2012年配网线路增加8.33KM，其中局属线路增加6.4KM，用户线路增加1.93KM。（局属114线路增加0.81KM，124线路增加2.4KM，148线路增加1.54KM，111线路增加1.65KM。）用户配变增加35台4775KVA。( 111城南增加625KVA/3台、112线路增加1050KVA/6台、114线路增加520KVA/3台、121线路增加620KVA/9台、124线路增加50KVA/1台、131线路增加20KVA/1台、134线路增加600KVA/3台、135线路增加100KVA/2台、148城区线路增加1060KNA/5台 ） 低压线路增加19.141KM。 （城关供电所增加5.155KM、秋林供电所增加1.315KM、云岩供电所增加2.809KM、新市河供电所增加3.73KM、英旺供电所增加4.507KM、牛家佃供电所增加1.625KM）                                                                                                                                                                               </t>
  </si>
  <si>
    <t xml:space="preserve">   樊春生</t>
  </si>
  <si>
    <t>志丹县供电分公司</t>
  </si>
  <si>
    <t>113旦义</t>
  </si>
  <si>
    <t>分路丝具2组</t>
  </si>
  <si>
    <t>113阳河</t>
  </si>
  <si>
    <t>115阳新</t>
  </si>
  <si>
    <t>分路丝具5组,电容器丝具1组.</t>
  </si>
  <si>
    <t>115官牛</t>
  </si>
  <si>
    <r>
      <t>分路丝具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组，电容器丝具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1组</t>
    </r>
  </si>
  <si>
    <t>115旦金</t>
  </si>
  <si>
    <t>146志城</t>
  </si>
  <si>
    <r>
      <t>4</t>
    </r>
    <r>
      <rPr>
        <sz val="12"/>
        <rFont val="宋体"/>
        <family val="0"/>
      </rPr>
      <t>台开关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组避雷器</t>
    </r>
  </si>
  <si>
    <t>143志城2</t>
  </si>
  <si>
    <r>
      <t>3</t>
    </r>
    <r>
      <rPr>
        <sz val="12"/>
        <rFont val="宋体"/>
        <family val="0"/>
      </rPr>
      <t>台开关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组避雷器</t>
    </r>
  </si>
  <si>
    <t>141志新</t>
  </si>
  <si>
    <r>
      <t>5</t>
    </r>
    <r>
      <rPr>
        <sz val="12"/>
        <rFont val="宋体"/>
        <family val="0"/>
      </rPr>
      <t>台开关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组避雷器，丝具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</t>
    </r>
  </si>
  <si>
    <t>147志双</t>
  </si>
  <si>
    <r>
      <t>分路丝具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组，电容器丝具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台开关</t>
    </r>
  </si>
  <si>
    <t>145志刘</t>
  </si>
  <si>
    <r>
      <t>分路丝具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组，电容器丝具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2组，4台开关2组避雷器</t>
    </r>
  </si>
  <si>
    <t>113顺桃</t>
  </si>
  <si>
    <r>
      <t>电容器丝具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组，</t>
    </r>
  </si>
  <si>
    <t>114顺纸</t>
  </si>
  <si>
    <r>
      <t>分路丝具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组，电容器丝具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台开关</t>
    </r>
  </si>
  <si>
    <t>115采三</t>
  </si>
  <si>
    <t>113杏镇</t>
  </si>
  <si>
    <r>
      <t>电容器丝具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台开关</t>
    </r>
    <r>
      <rPr>
        <sz val="12"/>
        <rFont val="Times New Roman"/>
        <family val="1"/>
      </rPr>
      <t>,1</t>
    </r>
    <r>
      <rPr>
        <sz val="12"/>
        <rFont val="宋体"/>
        <family val="0"/>
      </rPr>
      <t>组分路丝具</t>
    </r>
  </si>
  <si>
    <t>115杏张</t>
  </si>
  <si>
    <r>
      <t>5</t>
    </r>
    <r>
      <rPr>
        <sz val="12"/>
        <rFont val="宋体"/>
        <family val="0"/>
      </rPr>
      <t>台开关</t>
    </r>
  </si>
  <si>
    <t>134旦吴</t>
  </si>
  <si>
    <r>
      <t>分路丝具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组，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台开关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组避雷器</t>
    </r>
  </si>
  <si>
    <t>133旦金</t>
  </si>
  <si>
    <r>
      <t>分路丝具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组，电容器丝具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组，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台开关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组避雷器</t>
    </r>
  </si>
  <si>
    <t>132旦镇</t>
  </si>
  <si>
    <t>分路丝具1组，1组避雷针</t>
  </si>
  <si>
    <t>131西区</t>
  </si>
  <si>
    <t>149志宁</t>
  </si>
  <si>
    <t>111阳南</t>
  </si>
  <si>
    <t>116阳闫</t>
  </si>
  <si>
    <t>111官庄</t>
  </si>
  <si>
    <t>112官西</t>
  </si>
  <si>
    <t>113官榆</t>
  </si>
  <si>
    <t>112寨吴</t>
  </si>
  <si>
    <t>115寨义</t>
  </si>
  <si>
    <t>116寨榆</t>
  </si>
  <si>
    <t>114寨永</t>
  </si>
  <si>
    <t>153武沟</t>
  </si>
  <si>
    <t>154志台</t>
  </si>
  <si>
    <t>155志康</t>
  </si>
  <si>
    <t>112阳管</t>
  </si>
  <si>
    <t>112旦郝</t>
  </si>
  <si>
    <t>111寨梁</t>
  </si>
  <si>
    <t>113寨管</t>
  </si>
  <si>
    <t>119寨旦</t>
  </si>
  <si>
    <t>161埝永</t>
  </si>
  <si>
    <r>
      <t>分路丝具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组，</t>
    </r>
  </si>
  <si>
    <t>165埝高</t>
  </si>
  <si>
    <r>
      <t>分路丝具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组，电容器丝具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组、避雷器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组，</t>
    </r>
  </si>
  <si>
    <t>163埝沙</t>
  </si>
  <si>
    <t>162埝长</t>
  </si>
  <si>
    <t>135永钻Ⅰ</t>
  </si>
  <si>
    <t>114阳闫II</t>
  </si>
  <si>
    <t>114西油</t>
  </si>
  <si>
    <t>116顺黄</t>
  </si>
  <si>
    <t>118顺刘</t>
  </si>
  <si>
    <t>114杏王</t>
  </si>
  <si>
    <r>
      <t>1</t>
    </r>
    <r>
      <rPr>
        <sz val="12"/>
        <rFont val="宋体"/>
        <family val="0"/>
      </rPr>
      <t>36西区Ⅱ</t>
    </r>
  </si>
  <si>
    <t>填报人：郭莉 高雪飞</t>
  </si>
  <si>
    <t>填报单位：吴起县供电分公司</t>
  </si>
  <si>
    <r>
      <t>变压器</t>
    </r>
    <r>
      <rPr>
        <sz val="10"/>
        <rFont val="Times New Roman"/>
        <family val="1"/>
      </rPr>
      <t xml:space="preserve">   kVA   </t>
    </r>
    <r>
      <rPr>
        <sz val="10"/>
        <rFont val="宋体"/>
        <family val="0"/>
      </rPr>
      <t>台</t>
    </r>
  </si>
  <si>
    <r>
      <t>（</t>
    </r>
    <r>
      <rPr>
        <sz val="10"/>
        <rFont val="Times New Roman"/>
        <family val="1"/>
      </rPr>
      <t>kvar,</t>
    </r>
    <r>
      <rPr>
        <sz val="10"/>
        <rFont val="宋体"/>
        <family val="0"/>
      </rPr>
      <t>组）</t>
    </r>
  </si>
  <si>
    <t>SF6</t>
  </si>
  <si>
    <t>169齐楼</t>
  </si>
  <si>
    <t>172齐郭</t>
  </si>
  <si>
    <r>
      <t>173</t>
    </r>
    <r>
      <rPr>
        <sz val="10"/>
        <rFont val="宋体"/>
        <family val="0"/>
      </rPr>
      <t>石油Ⅲ</t>
    </r>
  </si>
  <si>
    <r>
      <t>171</t>
    </r>
    <r>
      <rPr>
        <sz val="10"/>
        <rFont val="宋体"/>
        <family val="0"/>
      </rPr>
      <t>齐指</t>
    </r>
  </si>
  <si>
    <r>
      <t>168</t>
    </r>
    <r>
      <rPr>
        <sz val="10"/>
        <rFont val="宋体"/>
        <family val="0"/>
      </rPr>
      <t>石油Ⅳ</t>
    </r>
  </si>
  <si>
    <r>
      <t>170</t>
    </r>
    <r>
      <rPr>
        <sz val="10"/>
        <rFont val="宋体"/>
        <family val="0"/>
      </rPr>
      <t>齐袁</t>
    </r>
  </si>
  <si>
    <r>
      <t>146</t>
    </r>
    <r>
      <rPr>
        <sz val="10"/>
        <rFont val="宋体"/>
        <family val="0"/>
      </rPr>
      <t>姚沟门</t>
    </r>
  </si>
  <si>
    <r>
      <t>148</t>
    </r>
    <r>
      <rPr>
        <sz val="10"/>
        <rFont val="宋体"/>
        <family val="0"/>
      </rPr>
      <t>长官庙</t>
    </r>
  </si>
  <si>
    <r>
      <t>147</t>
    </r>
    <r>
      <rPr>
        <sz val="10"/>
        <rFont val="宋体"/>
        <family val="0"/>
      </rPr>
      <t>选油站</t>
    </r>
  </si>
  <si>
    <r>
      <t>150</t>
    </r>
    <r>
      <rPr>
        <sz val="10"/>
        <rFont val="宋体"/>
        <family val="0"/>
      </rPr>
      <t>长庆</t>
    </r>
  </si>
  <si>
    <r>
      <t>149</t>
    </r>
    <r>
      <rPr>
        <sz val="10"/>
        <rFont val="宋体"/>
        <family val="0"/>
      </rPr>
      <t>石油</t>
    </r>
  </si>
  <si>
    <r>
      <t>151</t>
    </r>
    <r>
      <rPr>
        <sz val="10"/>
        <rFont val="宋体"/>
        <family val="0"/>
      </rPr>
      <t>新寨</t>
    </r>
  </si>
  <si>
    <r>
      <t>152</t>
    </r>
    <r>
      <rPr>
        <sz val="10"/>
        <rFont val="宋体"/>
        <family val="0"/>
      </rPr>
      <t>石油Ⅱ</t>
    </r>
  </si>
  <si>
    <r>
      <t>153</t>
    </r>
    <r>
      <rPr>
        <sz val="10"/>
        <rFont val="宋体"/>
        <family val="0"/>
      </rPr>
      <t>王洼子</t>
    </r>
  </si>
  <si>
    <r>
      <t>156</t>
    </r>
    <r>
      <rPr>
        <sz val="10"/>
        <rFont val="宋体"/>
        <family val="0"/>
      </rPr>
      <t>西川</t>
    </r>
  </si>
  <si>
    <r>
      <t>154</t>
    </r>
    <r>
      <rPr>
        <sz val="10"/>
        <rFont val="宋体"/>
        <family val="0"/>
      </rPr>
      <t>长指</t>
    </r>
  </si>
  <si>
    <r>
      <t>155</t>
    </r>
    <r>
      <rPr>
        <sz val="10"/>
        <rFont val="宋体"/>
        <family val="0"/>
      </rPr>
      <t>长庆</t>
    </r>
  </si>
  <si>
    <r>
      <t>157</t>
    </r>
    <r>
      <rPr>
        <sz val="10"/>
        <rFont val="宋体"/>
        <family val="0"/>
      </rPr>
      <t>五谷城</t>
    </r>
  </si>
  <si>
    <r>
      <t>158</t>
    </r>
    <r>
      <rPr>
        <sz val="10"/>
        <rFont val="宋体"/>
        <family val="0"/>
      </rPr>
      <t>油区</t>
    </r>
  </si>
  <si>
    <r>
      <t>160</t>
    </r>
    <r>
      <rPr>
        <sz val="10"/>
        <rFont val="宋体"/>
        <family val="0"/>
      </rPr>
      <t>马连城</t>
    </r>
  </si>
  <si>
    <r>
      <t>162</t>
    </r>
    <r>
      <rPr>
        <sz val="10"/>
        <rFont val="宋体"/>
        <family val="0"/>
      </rPr>
      <t>薛岔</t>
    </r>
  </si>
  <si>
    <r>
      <t>140</t>
    </r>
    <r>
      <rPr>
        <sz val="10"/>
        <rFont val="宋体"/>
        <family val="0"/>
      </rPr>
      <t>张坪</t>
    </r>
  </si>
  <si>
    <r>
      <t>163</t>
    </r>
    <r>
      <rPr>
        <sz val="10"/>
        <rFont val="宋体"/>
        <family val="0"/>
      </rPr>
      <t>长城</t>
    </r>
  </si>
  <si>
    <r>
      <t>164</t>
    </r>
    <r>
      <rPr>
        <sz val="10"/>
        <rFont val="宋体"/>
        <family val="0"/>
      </rPr>
      <t>钻采石油</t>
    </r>
  </si>
  <si>
    <r>
      <t>165</t>
    </r>
    <r>
      <rPr>
        <sz val="10"/>
        <rFont val="宋体"/>
        <family val="0"/>
      </rPr>
      <t>周湾</t>
    </r>
  </si>
  <si>
    <r>
      <t>166</t>
    </r>
    <r>
      <rPr>
        <sz val="10"/>
        <rFont val="宋体"/>
        <family val="0"/>
      </rPr>
      <t>罗沟泉</t>
    </r>
  </si>
  <si>
    <r>
      <t>167</t>
    </r>
    <r>
      <rPr>
        <sz val="10"/>
        <rFont val="宋体"/>
        <family val="0"/>
      </rPr>
      <t>长庆石油</t>
    </r>
  </si>
  <si>
    <t>144县城II</t>
  </si>
  <si>
    <r>
      <t>138</t>
    </r>
    <r>
      <rPr>
        <sz val="10"/>
        <rFont val="宋体"/>
        <family val="0"/>
      </rPr>
      <t>城网Ⅰ</t>
    </r>
  </si>
  <si>
    <r>
      <t>137</t>
    </r>
    <r>
      <rPr>
        <sz val="10"/>
        <rFont val="宋体"/>
        <family val="0"/>
      </rPr>
      <t>城郊</t>
    </r>
  </si>
  <si>
    <r>
      <t>143</t>
    </r>
    <r>
      <rPr>
        <sz val="10"/>
        <rFont val="宋体"/>
        <family val="0"/>
      </rPr>
      <t>庙沟Ⅰ</t>
    </r>
  </si>
  <si>
    <t>139庙沟II</t>
  </si>
  <si>
    <r>
      <t>194</t>
    </r>
    <r>
      <rPr>
        <sz val="10"/>
        <rFont val="宋体"/>
        <family val="0"/>
      </rPr>
      <t>庙大</t>
    </r>
  </si>
  <si>
    <r>
      <t>197</t>
    </r>
    <r>
      <rPr>
        <sz val="10"/>
        <rFont val="宋体"/>
        <family val="0"/>
      </rPr>
      <t>庙李</t>
    </r>
  </si>
  <si>
    <r>
      <t>198</t>
    </r>
    <r>
      <rPr>
        <sz val="10"/>
        <rFont val="宋体"/>
        <family val="0"/>
      </rPr>
      <t>庙苗</t>
    </r>
  </si>
  <si>
    <r>
      <t>199</t>
    </r>
    <r>
      <rPr>
        <sz val="10"/>
        <rFont val="宋体"/>
        <family val="0"/>
      </rPr>
      <t>庙曾</t>
    </r>
  </si>
  <si>
    <r>
      <t>182</t>
    </r>
    <r>
      <rPr>
        <sz val="10"/>
        <rFont val="宋体"/>
        <family val="0"/>
      </rPr>
      <t>石油Ⅸ</t>
    </r>
  </si>
  <si>
    <r>
      <t>183</t>
    </r>
    <r>
      <rPr>
        <sz val="10"/>
        <rFont val="宋体"/>
        <family val="0"/>
      </rPr>
      <t>长庆Ⅵ</t>
    </r>
  </si>
  <si>
    <r>
      <t>184</t>
    </r>
    <r>
      <rPr>
        <sz val="10"/>
        <rFont val="宋体"/>
        <family val="0"/>
      </rPr>
      <t>石油Ⅷ</t>
    </r>
  </si>
  <si>
    <r>
      <t>185</t>
    </r>
    <r>
      <rPr>
        <sz val="10"/>
        <rFont val="宋体"/>
        <family val="0"/>
      </rPr>
      <t>新杨</t>
    </r>
  </si>
  <si>
    <r>
      <t>186</t>
    </r>
    <r>
      <rPr>
        <sz val="10"/>
        <rFont val="宋体"/>
        <family val="0"/>
      </rPr>
      <t>长庆Ⅴ</t>
    </r>
  </si>
  <si>
    <r>
      <t>187</t>
    </r>
    <r>
      <rPr>
        <sz val="10"/>
        <rFont val="宋体"/>
        <family val="0"/>
      </rPr>
      <t>长庆Ⅳ</t>
    </r>
  </si>
  <si>
    <r>
      <t>193</t>
    </r>
    <r>
      <rPr>
        <sz val="10"/>
        <rFont val="宋体"/>
        <family val="0"/>
      </rPr>
      <t>新铁</t>
    </r>
  </si>
  <si>
    <r>
      <t>175</t>
    </r>
    <r>
      <rPr>
        <sz val="10"/>
        <rFont val="宋体"/>
        <family val="0"/>
      </rPr>
      <t>城刘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石油</t>
    </r>
    <r>
      <rPr>
        <sz val="10"/>
        <rFont val="Times New Roman"/>
        <family val="1"/>
      </rPr>
      <t>)</t>
    </r>
  </si>
  <si>
    <r>
      <t>176</t>
    </r>
    <r>
      <rPr>
        <sz val="10"/>
        <rFont val="宋体"/>
        <family val="0"/>
      </rPr>
      <t>城石</t>
    </r>
  </si>
  <si>
    <r>
      <t>177</t>
    </r>
    <r>
      <rPr>
        <sz val="10"/>
        <rFont val="宋体"/>
        <family val="0"/>
      </rPr>
      <t>石油Ⅴ</t>
    </r>
  </si>
  <si>
    <r>
      <t>178</t>
    </r>
    <r>
      <rPr>
        <sz val="10"/>
        <rFont val="宋体"/>
        <family val="0"/>
      </rPr>
      <t>城金</t>
    </r>
  </si>
  <si>
    <r>
      <t>179</t>
    </r>
    <r>
      <rPr>
        <sz val="10"/>
        <rFont val="宋体"/>
        <family val="0"/>
      </rPr>
      <t>石油Ⅵ</t>
    </r>
  </si>
  <si>
    <r>
      <t>180</t>
    </r>
    <r>
      <rPr>
        <sz val="10"/>
        <rFont val="宋体"/>
        <family val="0"/>
      </rPr>
      <t>石油Ⅶ</t>
    </r>
  </si>
  <si>
    <r>
      <t>121</t>
    </r>
    <r>
      <rPr>
        <sz val="10"/>
        <rFont val="宋体"/>
        <family val="0"/>
      </rPr>
      <t>黄侯</t>
    </r>
  </si>
  <si>
    <r>
      <t>122</t>
    </r>
    <r>
      <rPr>
        <sz val="10"/>
        <rFont val="宋体"/>
        <family val="0"/>
      </rPr>
      <t>黄周</t>
    </r>
  </si>
  <si>
    <r>
      <t>123</t>
    </r>
    <r>
      <rPr>
        <sz val="10"/>
        <rFont val="宋体"/>
        <family val="0"/>
      </rPr>
      <t>石油Ⅰ</t>
    </r>
  </si>
  <si>
    <r>
      <t>124</t>
    </r>
    <r>
      <rPr>
        <sz val="10"/>
        <rFont val="宋体"/>
        <family val="0"/>
      </rPr>
      <t>石油Ⅱ</t>
    </r>
  </si>
  <si>
    <r>
      <t>125</t>
    </r>
    <r>
      <rPr>
        <sz val="10"/>
        <rFont val="宋体"/>
        <family val="0"/>
      </rPr>
      <t>石油Ⅲ</t>
    </r>
  </si>
  <si>
    <r>
      <t>备注</t>
    </r>
    <r>
      <rPr>
        <sz val="10"/>
        <rFont val="Times New Roman"/>
        <family val="1"/>
      </rPr>
      <t>:</t>
    </r>
  </si>
  <si>
    <t>填报时间：2013年1月8日</t>
  </si>
  <si>
    <t>子长供电分公司</t>
  </si>
  <si>
    <r>
      <t>填报日期</t>
    </r>
    <r>
      <rPr>
        <sz val="12"/>
        <rFont val="Times New Roman"/>
        <family val="1"/>
      </rPr>
      <t xml:space="preserve">:         </t>
    </r>
    <r>
      <rPr>
        <sz val="12"/>
        <rFont val="宋体"/>
        <family val="0"/>
      </rPr>
      <t>年  月  日</t>
    </r>
    <r>
      <rPr>
        <sz val="12"/>
        <rFont val="Times New Roman"/>
        <family val="1"/>
      </rPr>
      <t xml:space="preserve"> </t>
    </r>
  </si>
  <si>
    <t>1</t>
  </si>
  <si>
    <t>121薛李馈路</t>
  </si>
  <si>
    <t>2</t>
  </si>
  <si>
    <t>122薛冯馈路</t>
  </si>
  <si>
    <t>3</t>
  </si>
  <si>
    <t>123薛刘馈路</t>
  </si>
  <si>
    <t>4</t>
  </si>
  <si>
    <t>124子北馈路</t>
  </si>
  <si>
    <t>5</t>
  </si>
  <si>
    <t>125薛安馈路</t>
  </si>
  <si>
    <t>6</t>
  </si>
  <si>
    <t>126薛齐馈路</t>
  </si>
  <si>
    <t>7</t>
  </si>
  <si>
    <t>127薛石馈路</t>
  </si>
  <si>
    <t>8</t>
  </si>
  <si>
    <t>129薛余馈路</t>
  </si>
  <si>
    <t>9</t>
  </si>
  <si>
    <t>131薛南馈路</t>
  </si>
  <si>
    <t>10</t>
  </si>
  <si>
    <t>132薛芽馈路</t>
  </si>
  <si>
    <t>11</t>
  </si>
  <si>
    <t>111子西馈路</t>
  </si>
  <si>
    <t>12</t>
  </si>
  <si>
    <t>113子南馈路</t>
  </si>
  <si>
    <t>13</t>
  </si>
  <si>
    <t>115子羊馈路</t>
  </si>
  <si>
    <t>14</t>
  </si>
  <si>
    <t>116城自馈路</t>
  </si>
  <si>
    <t>15</t>
  </si>
  <si>
    <t>120城扇馈路</t>
  </si>
  <si>
    <t>16</t>
  </si>
  <si>
    <t>123城郊馈路</t>
  </si>
  <si>
    <t>17</t>
  </si>
  <si>
    <t>125城区馈路</t>
  </si>
  <si>
    <t>18</t>
  </si>
  <si>
    <t>129城芽馈路</t>
  </si>
  <si>
    <t>19</t>
  </si>
  <si>
    <t>112富昌馈路</t>
  </si>
  <si>
    <t>20</t>
  </si>
  <si>
    <t>113寺东馈路</t>
  </si>
  <si>
    <t>21</t>
  </si>
  <si>
    <t>115寺庄馈路</t>
  </si>
  <si>
    <t>22</t>
  </si>
  <si>
    <t>114富采馈路</t>
  </si>
  <si>
    <t>23</t>
  </si>
  <si>
    <t>116子油馈路</t>
  </si>
  <si>
    <t>24</t>
  </si>
  <si>
    <t>112玉黄馈路</t>
  </si>
  <si>
    <t>25</t>
  </si>
  <si>
    <t>115玉南馈路</t>
  </si>
  <si>
    <t>26</t>
  </si>
  <si>
    <t>116玉西馈路</t>
  </si>
  <si>
    <t>27</t>
  </si>
  <si>
    <t>112丹杨专线</t>
  </si>
  <si>
    <t>28</t>
  </si>
  <si>
    <t>113丹热馈路</t>
  </si>
  <si>
    <t>29</t>
  </si>
  <si>
    <t>115丹马馈路</t>
  </si>
  <si>
    <t>30</t>
  </si>
  <si>
    <t>116丹史馈路</t>
  </si>
  <si>
    <t>31</t>
  </si>
  <si>
    <t>117瓦采馈路</t>
  </si>
  <si>
    <t>32</t>
  </si>
  <si>
    <t>112瓦采馈路</t>
  </si>
  <si>
    <t>33</t>
  </si>
  <si>
    <t>113瓦采Ⅰ馈路</t>
  </si>
  <si>
    <t>34</t>
  </si>
  <si>
    <t>114张中馈路</t>
  </si>
  <si>
    <t>35</t>
  </si>
  <si>
    <t>115瓦采Ⅱ馈路</t>
  </si>
  <si>
    <t>36</t>
  </si>
  <si>
    <t>116子北馈路</t>
  </si>
  <si>
    <t>37</t>
  </si>
  <si>
    <t>117张李馈路</t>
  </si>
  <si>
    <t>38</t>
  </si>
  <si>
    <t>112涧高馈路</t>
  </si>
  <si>
    <t>39</t>
  </si>
  <si>
    <t>113子北Ⅰ馈路</t>
  </si>
  <si>
    <t>40</t>
  </si>
  <si>
    <t>114子北Ⅱ馈路</t>
  </si>
  <si>
    <t>41</t>
  </si>
  <si>
    <t>116涧方馈路</t>
  </si>
  <si>
    <t>42</t>
  </si>
  <si>
    <t>117涧宋馈路</t>
  </si>
  <si>
    <t>43</t>
  </si>
  <si>
    <t>132栾冯馈路</t>
  </si>
  <si>
    <t>44</t>
  </si>
  <si>
    <t>133栾稍馈路</t>
  </si>
  <si>
    <t>45</t>
  </si>
  <si>
    <t>134栾扇馈路</t>
  </si>
  <si>
    <t>46</t>
  </si>
  <si>
    <t>135栾自馈路</t>
  </si>
  <si>
    <t>47</t>
  </si>
  <si>
    <t>136栾郭馈路</t>
  </si>
  <si>
    <t>48</t>
  </si>
  <si>
    <t>137栾安馈路</t>
  </si>
  <si>
    <t>49</t>
  </si>
  <si>
    <t>151志安Ⅰ馈路</t>
  </si>
  <si>
    <t>50</t>
  </si>
  <si>
    <t>152志安Ⅱ馈路</t>
  </si>
  <si>
    <t>51</t>
  </si>
  <si>
    <t>153石家沟Ⅰ馈路</t>
  </si>
  <si>
    <t>52</t>
  </si>
  <si>
    <t>154石家沟Ⅱ馈路</t>
  </si>
  <si>
    <t>53</t>
  </si>
  <si>
    <t>157禾草沟二矿Ⅰ馈路</t>
  </si>
  <si>
    <t>54</t>
  </si>
  <si>
    <t>158禾草沟二矿Ⅱ馈路</t>
  </si>
  <si>
    <t>55</t>
  </si>
  <si>
    <t>159禾草沟一矿Ⅰ馈路</t>
  </si>
  <si>
    <t>56</t>
  </si>
  <si>
    <t>162禾草沟一矿Ⅱ馈路</t>
  </si>
  <si>
    <t>57</t>
  </si>
  <si>
    <t>161永明Ⅰ馈路</t>
  </si>
  <si>
    <t>58</t>
  </si>
  <si>
    <t>164永明Ⅱ馈路</t>
  </si>
  <si>
    <t>59</t>
  </si>
  <si>
    <t>175南矿Ⅰ馈路</t>
  </si>
  <si>
    <t>60</t>
  </si>
  <si>
    <t>177南矿Ⅱ馈路</t>
  </si>
  <si>
    <t>61</t>
  </si>
  <si>
    <t>181天任Ⅰ馈路</t>
  </si>
  <si>
    <t>62</t>
  </si>
  <si>
    <t>185天任Ⅱ馈路</t>
  </si>
  <si>
    <t>63</t>
  </si>
  <si>
    <t>183永兴Ⅰ馈路</t>
  </si>
  <si>
    <t>64</t>
  </si>
  <si>
    <t>187永兴Ⅱ馈路</t>
  </si>
  <si>
    <t xml:space="preserve">单位负责人： </t>
  </si>
  <si>
    <t xml:space="preserve"> </t>
  </si>
  <si>
    <t>魏杰</t>
  </si>
  <si>
    <r>
      <t>201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年度10kV配网运行资产管理年报</t>
    </r>
  </si>
  <si>
    <t>填报单位：（盖章）城固县供电分公司</t>
  </si>
  <si>
    <r>
      <t>填报日期</t>
    </r>
    <r>
      <rPr>
        <sz val="12"/>
        <rFont val="Times New Roman"/>
        <family val="1"/>
      </rPr>
      <t xml:space="preserve">:       2012 </t>
    </r>
    <r>
      <rPr>
        <sz val="12"/>
        <rFont val="宋体"/>
        <family val="0"/>
      </rPr>
      <t>年  01月</t>
    </r>
    <r>
      <rPr>
        <sz val="12"/>
        <rFont val="宋体"/>
        <family val="0"/>
      </rPr>
      <t>08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</si>
  <si>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r>
      <t>用电年报</t>
    </r>
    <r>
      <rPr>
        <sz val="12"/>
        <rFont val="Times New Roman"/>
        <family val="1"/>
      </rPr>
      <t>01</t>
    </r>
  </si>
  <si>
    <t>城关线</t>
  </si>
  <si>
    <t>城东线</t>
  </si>
  <si>
    <t>城西线</t>
  </si>
  <si>
    <t>城关Ⅱ线</t>
  </si>
  <si>
    <t>农Ⅱ线</t>
  </si>
  <si>
    <t>西环Ⅰ线</t>
  </si>
  <si>
    <t>西环Ⅱ线</t>
  </si>
  <si>
    <t>廉东Ⅱ线</t>
  </si>
  <si>
    <t>农湾线</t>
  </si>
  <si>
    <t>农柳线</t>
  </si>
  <si>
    <t>农崔线</t>
  </si>
  <si>
    <t>农I线</t>
  </si>
  <si>
    <t>沙农线</t>
  </si>
  <si>
    <t>农III线</t>
  </si>
  <si>
    <t>原公线</t>
  </si>
  <si>
    <t>桔园线</t>
  </si>
  <si>
    <t>农龙线</t>
  </si>
  <si>
    <t>农毕线</t>
  </si>
  <si>
    <t>农石线</t>
  </si>
  <si>
    <t>文松线</t>
  </si>
  <si>
    <t>农上线</t>
  </si>
  <si>
    <t>农莫线</t>
  </si>
  <si>
    <t>农天线</t>
  </si>
  <si>
    <t>高坝线</t>
  </si>
  <si>
    <t>八角线</t>
  </si>
  <si>
    <t>东河线</t>
  </si>
  <si>
    <t>黄岗线</t>
  </si>
  <si>
    <t>小河线</t>
  </si>
  <si>
    <t>双溪线</t>
  </si>
  <si>
    <t>桃源线</t>
  </si>
  <si>
    <t>硅铁Ⅰ线</t>
  </si>
  <si>
    <t>硅铁II线</t>
  </si>
  <si>
    <t>南柳线</t>
  </si>
  <si>
    <t>文川线</t>
  </si>
  <si>
    <t>猫山线</t>
  </si>
  <si>
    <t>水厂线</t>
  </si>
  <si>
    <t>酒厂线</t>
  </si>
  <si>
    <t>汉川线</t>
  </si>
  <si>
    <t>樵坝线</t>
  </si>
  <si>
    <t>廉Ⅰ线</t>
  </si>
  <si>
    <t>廉Ⅲ线</t>
  </si>
  <si>
    <t>廉城线</t>
  </si>
  <si>
    <t>廉东线</t>
  </si>
  <si>
    <t>胥城线</t>
  </si>
  <si>
    <t>廉鑫线</t>
  </si>
  <si>
    <t>农黄线</t>
  </si>
  <si>
    <t>马继敏</t>
  </si>
  <si>
    <t>李万良</t>
  </si>
  <si>
    <t>张亚军</t>
  </si>
  <si>
    <t>周家坪变城关线</t>
  </si>
  <si>
    <t>周家坪变城南线</t>
  </si>
  <si>
    <t>周家坪变阳春线</t>
  </si>
  <si>
    <t>阳春变农镇线</t>
  </si>
  <si>
    <t>周家坪变农周线</t>
  </si>
  <si>
    <t>周家坪变农高线</t>
  </si>
  <si>
    <t>青树变农石线</t>
  </si>
  <si>
    <t>青树变农红线</t>
  </si>
  <si>
    <t>青树变农黄线</t>
  </si>
  <si>
    <t>青树变农云线</t>
  </si>
  <si>
    <t>新集变新镇线</t>
  </si>
  <si>
    <t>新集变农青线</t>
  </si>
  <si>
    <t>新集变农华线</t>
  </si>
  <si>
    <t>新集变新高线</t>
  </si>
  <si>
    <t>阳春变农阳线</t>
  </si>
  <si>
    <t>阳春变农协线</t>
  </si>
  <si>
    <t>阳春变农郭线</t>
  </si>
  <si>
    <t>梁山变农梁线</t>
  </si>
  <si>
    <t>梁山变梁西线</t>
  </si>
  <si>
    <t>草堰变镇北I线</t>
  </si>
  <si>
    <t>草堰变镇北II线</t>
  </si>
  <si>
    <t>大河坎变镇西I线</t>
  </si>
  <si>
    <t>大河坎变镇东线</t>
  </si>
  <si>
    <t>大河坎变农中线</t>
  </si>
  <si>
    <t>大河坎变镇南线</t>
  </si>
  <si>
    <t>大河坎变镇西II线</t>
  </si>
  <si>
    <t>大河坎变农网线</t>
  </si>
  <si>
    <t>圣水变农网线</t>
  </si>
  <si>
    <t>圣水变大河坎线</t>
  </si>
  <si>
    <t>湘水变农里线</t>
  </si>
  <si>
    <t>湘水变农湘线</t>
  </si>
  <si>
    <t>湘水变农茶线</t>
  </si>
  <si>
    <t>湘水变农法线</t>
  </si>
  <si>
    <t>南峰变农秦线</t>
  </si>
  <si>
    <t>南峰变农牟线</t>
  </si>
  <si>
    <t>南峰变农碑线</t>
  </si>
  <si>
    <t>福成变农玉线</t>
  </si>
  <si>
    <t>渔营变南环Ⅰ线</t>
  </si>
  <si>
    <t>中梁建材</t>
  </si>
  <si>
    <t>汉江建材</t>
  </si>
  <si>
    <t>周家坪变氮肥线</t>
  </si>
  <si>
    <t>梁山变鑫源建材线</t>
  </si>
  <si>
    <t>缙颐线</t>
  </si>
  <si>
    <t>肖明</t>
  </si>
  <si>
    <r>
      <t>填报日期</t>
    </r>
    <r>
      <rPr>
        <sz val="10"/>
        <rFont val="Times New Roman"/>
        <family val="1"/>
      </rPr>
      <t>: 2012</t>
    </r>
    <r>
      <rPr>
        <sz val="10"/>
        <color indexed="8"/>
        <rFont val="宋体"/>
        <family val="0"/>
      </rPr>
      <t>年 12 月28  日</t>
    </r>
    <r>
      <rPr>
        <sz val="10"/>
        <rFont val="Times New Roman"/>
        <family val="1"/>
      </rPr>
      <t xml:space="preserve"> </t>
    </r>
  </si>
  <si>
    <r>
      <t>配网年报</t>
    </r>
    <r>
      <rPr>
        <sz val="10"/>
        <rFont val="Times New Roman"/>
        <family val="1"/>
      </rPr>
      <t xml:space="preserve"> 1</t>
    </r>
  </si>
  <si>
    <r>
      <t>变压器</t>
    </r>
    <r>
      <rPr>
        <sz val="10"/>
        <rFont val="Times New Roman"/>
        <family val="1"/>
      </rPr>
      <t xml:space="preserve">   kVA   </t>
    </r>
    <r>
      <rPr>
        <sz val="10"/>
        <color indexed="8"/>
        <rFont val="宋体"/>
        <family val="0"/>
      </rPr>
      <t>台</t>
    </r>
  </si>
  <si>
    <r>
      <t>（</t>
    </r>
    <r>
      <rPr>
        <sz val="10"/>
        <rFont val="Times New Roman"/>
        <family val="1"/>
      </rPr>
      <t>kvar,</t>
    </r>
    <r>
      <rPr>
        <sz val="10"/>
        <color indexed="8"/>
        <rFont val="宋体"/>
        <family val="0"/>
      </rPr>
      <t>组）</t>
    </r>
  </si>
  <si>
    <t>农溢线</t>
  </si>
  <si>
    <t>农马线</t>
  </si>
  <si>
    <t xml:space="preserve">   125镇溢线   </t>
  </si>
  <si>
    <t>农南线</t>
  </si>
  <si>
    <t>水泥线</t>
  </si>
  <si>
    <t>氮肥线</t>
  </si>
  <si>
    <t>砖厂线</t>
  </si>
  <si>
    <t>城南线</t>
  </si>
  <si>
    <t>城北线</t>
  </si>
  <si>
    <t>傥河线2纸坊</t>
  </si>
  <si>
    <t>傥河线戚氏</t>
  </si>
  <si>
    <t>汉江线</t>
  </si>
  <si>
    <t>汉江线1黄家营</t>
  </si>
  <si>
    <t>龙亭线</t>
  </si>
  <si>
    <t>贯龙线</t>
  </si>
  <si>
    <t>贯龙线1贯溪所</t>
  </si>
  <si>
    <t>华阳线</t>
  </si>
  <si>
    <t>茅坪线</t>
  </si>
  <si>
    <t>八里关线</t>
  </si>
  <si>
    <t>桑良线</t>
  </si>
  <si>
    <t>金高线</t>
  </si>
  <si>
    <t>酉微线</t>
  </si>
  <si>
    <t>115酉金线</t>
  </si>
  <si>
    <t>115酉金线秧田支线</t>
  </si>
  <si>
    <t>112酉槐线</t>
  </si>
  <si>
    <t>良心线</t>
  </si>
  <si>
    <t>良关线</t>
  </si>
  <si>
    <t>良朱线</t>
  </si>
  <si>
    <t>西乡线</t>
  </si>
  <si>
    <t>铁矿线</t>
  </si>
  <si>
    <t>良七线</t>
  </si>
  <si>
    <t>氮肥I线</t>
  </si>
  <si>
    <t>氮肥II线</t>
  </si>
  <si>
    <t>氮肥III线</t>
  </si>
  <si>
    <t>氮肥IV线</t>
  </si>
  <si>
    <t>镇尧线</t>
  </si>
  <si>
    <t>镇马线</t>
  </si>
  <si>
    <t>农洋Ⅰ线</t>
  </si>
  <si>
    <t>农洋Ⅱ线</t>
  </si>
  <si>
    <t>122氮肥2线</t>
  </si>
  <si>
    <t>119酉铜线</t>
  </si>
  <si>
    <t>良桑线</t>
  </si>
  <si>
    <t>铁矿2线</t>
  </si>
  <si>
    <t>镇谢线</t>
  </si>
  <si>
    <t>镇泥线</t>
  </si>
  <si>
    <t>龚献忠</t>
  </si>
  <si>
    <t>张鹏</t>
  </si>
  <si>
    <t>王阳</t>
  </si>
  <si>
    <t xml:space="preserve">填报日期:      2013 年 1月 8日 </t>
  </si>
  <si>
    <r>
      <t>变压器</t>
    </r>
    <r>
      <rPr>
        <sz val="11"/>
        <rFont val="Times New Roman"/>
        <family val="1"/>
      </rPr>
      <t xml:space="preserve">   kVA   </t>
    </r>
    <r>
      <rPr>
        <sz val="11"/>
        <rFont val="宋体"/>
        <family val="0"/>
      </rPr>
      <t>台</t>
    </r>
  </si>
  <si>
    <r>
      <t>（</t>
    </r>
    <r>
      <rPr>
        <sz val="11"/>
        <rFont val="Times New Roman"/>
        <family val="1"/>
      </rPr>
      <t>kvar,</t>
    </r>
    <r>
      <rPr>
        <sz val="11"/>
        <rFont val="宋体"/>
        <family val="0"/>
      </rPr>
      <t>组）</t>
    </r>
  </si>
  <si>
    <t>111农太线</t>
  </si>
  <si>
    <t>111十丰线</t>
  </si>
  <si>
    <t>111桐车线</t>
  </si>
  <si>
    <t>111营沙线</t>
  </si>
  <si>
    <t>111振南线</t>
  </si>
  <si>
    <t>112城南线</t>
  </si>
  <si>
    <t>112农渡线</t>
  </si>
  <si>
    <t>112四合线</t>
  </si>
  <si>
    <t>112杨河线</t>
  </si>
  <si>
    <t>112营贯线</t>
  </si>
  <si>
    <t>113农白线</t>
  </si>
  <si>
    <t>114城东线</t>
  </si>
  <si>
    <t>115农高线</t>
  </si>
  <si>
    <t>115十城线</t>
  </si>
  <si>
    <t>116电站线</t>
  </si>
  <si>
    <t>116农镇线</t>
  </si>
  <si>
    <t>117电解线</t>
  </si>
  <si>
    <t>117农木线</t>
  </si>
  <si>
    <t>117农网线</t>
  </si>
  <si>
    <t>117农堰线</t>
  </si>
  <si>
    <t>118农天线</t>
  </si>
  <si>
    <t>118桑园线</t>
  </si>
  <si>
    <t>120城北线</t>
  </si>
  <si>
    <t>120城西线</t>
  </si>
  <si>
    <t>121城关线</t>
  </si>
  <si>
    <t>124桑子线</t>
  </si>
  <si>
    <t>132堰司线</t>
  </si>
  <si>
    <t>133堰城线</t>
  </si>
  <si>
    <t>134电站线</t>
  </si>
  <si>
    <t>135堰工线</t>
  </si>
  <si>
    <t>136堰三线</t>
  </si>
  <si>
    <t>137堰高线</t>
  </si>
  <si>
    <t>139堰洋线</t>
  </si>
  <si>
    <t>141农左线</t>
  </si>
  <si>
    <t>142电站线</t>
  </si>
  <si>
    <t>143农柳线</t>
  </si>
  <si>
    <t>146农贯线</t>
  </si>
  <si>
    <t>147农峡线</t>
  </si>
  <si>
    <t>152农石线</t>
  </si>
  <si>
    <t>153农段线</t>
  </si>
  <si>
    <t>161农林线</t>
  </si>
  <si>
    <t>162农上线</t>
  </si>
  <si>
    <t>181大河线</t>
  </si>
  <si>
    <t>备注：</t>
  </si>
  <si>
    <t>填报人：余强</t>
  </si>
  <si>
    <r>
      <t>填报日期</t>
    </r>
    <r>
      <rPr>
        <sz val="12"/>
        <rFont val="Times New Roman"/>
        <family val="1"/>
      </rPr>
      <t xml:space="preserve">:     2012    </t>
    </r>
    <r>
      <rPr>
        <sz val="12"/>
        <rFont val="宋体"/>
        <family val="0"/>
      </rPr>
      <t>年 12 月28  日</t>
    </r>
    <r>
      <rPr>
        <sz val="12"/>
        <rFont val="Times New Roman"/>
        <family val="1"/>
      </rPr>
      <t xml:space="preserve"> </t>
    </r>
  </si>
  <si>
    <t>113城关线</t>
  </si>
  <si>
    <t>114城西线</t>
  </si>
  <si>
    <t>114农双线</t>
  </si>
  <si>
    <t>115河滨线</t>
  </si>
  <si>
    <t>111农黄线</t>
  </si>
  <si>
    <t>112农网线</t>
  </si>
  <si>
    <t>116农金线</t>
  </si>
  <si>
    <t>113隧道1#线</t>
  </si>
  <si>
    <t>114隧道2#线</t>
  </si>
  <si>
    <t>115棋盘关专线</t>
  </si>
  <si>
    <t>111农罗线</t>
  </si>
  <si>
    <t>116农关线</t>
  </si>
  <si>
    <t>151农大线</t>
  </si>
  <si>
    <t>152农网线</t>
  </si>
  <si>
    <t>153农石线</t>
  </si>
  <si>
    <t>112烈农线</t>
  </si>
  <si>
    <t>116农川线</t>
  </si>
  <si>
    <t>164农庙线</t>
  </si>
  <si>
    <t>162铁矿线</t>
  </si>
  <si>
    <t>123公网线</t>
  </si>
  <si>
    <t>121代曾线</t>
  </si>
  <si>
    <t>113锰矿线</t>
  </si>
  <si>
    <r>
      <t>1</t>
    </r>
    <r>
      <rPr>
        <sz val="10"/>
        <rFont val="宋体"/>
        <family val="0"/>
      </rPr>
      <t>22</t>
    </r>
    <r>
      <rPr>
        <sz val="10"/>
        <rFont val="宋体"/>
        <family val="0"/>
      </rPr>
      <t>电站线</t>
    </r>
  </si>
  <si>
    <t>127炼锌Ⅱ线</t>
  </si>
  <si>
    <t>111焊材线</t>
  </si>
  <si>
    <r>
      <t>1</t>
    </r>
    <r>
      <rPr>
        <sz val="10"/>
        <rFont val="宋体"/>
        <family val="0"/>
      </rPr>
      <t>17</t>
    </r>
    <r>
      <rPr>
        <sz val="10"/>
        <rFont val="宋体"/>
        <family val="0"/>
      </rPr>
      <t>镇东线</t>
    </r>
  </si>
  <si>
    <t>118农燕线</t>
  </si>
  <si>
    <t>131广八线</t>
  </si>
  <si>
    <t>132广金线</t>
  </si>
  <si>
    <t>134广坪线</t>
  </si>
  <si>
    <t>137广青线</t>
  </si>
  <si>
    <t>填报人：赵二虎</t>
  </si>
  <si>
    <t>填报单位：（盖章）镇巴县供电分公司</t>
  </si>
  <si>
    <r>
      <t>填报日期</t>
    </r>
    <r>
      <rPr>
        <sz val="12"/>
        <rFont val="Times New Roman"/>
        <family val="1"/>
      </rPr>
      <t xml:space="preserve">:  2012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</si>
  <si>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111城北线</t>
  </si>
  <si>
    <t>112城关Ⅱ回</t>
  </si>
  <si>
    <t>113镇九线</t>
  </si>
  <si>
    <t>114城关Ⅰ回</t>
  </si>
  <si>
    <t>116镇高线</t>
  </si>
  <si>
    <t>117镇杨线</t>
  </si>
  <si>
    <t>118镇碾线</t>
  </si>
  <si>
    <t>111渔大线</t>
  </si>
  <si>
    <t>112渔永线</t>
  </si>
  <si>
    <t>113渔铁线</t>
  </si>
  <si>
    <r>
      <t>1</t>
    </r>
    <r>
      <rPr>
        <sz val="12"/>
        <rFont val="宋体"/>
        <family val="0"/>
      </rPr>
      <t>11伍力线</t>
    </r>
  </si>
  <si>
    <t>112伍三线</t>
  </si>
  <si>
    <t>111长青线</t>
  </si>
  <si>
    <t>112长仁线</t>
  </si>
  <si>
    <t>114长麻线</t>
  </si>
  <si>
    <t>111 观田线</t>
  </si>
  <si>
    <r>
      <t>1</t>
    </r>
    <r>
      <rPr>
        <sz val="12"/>
        <rFont val="宋体"/>
        <family val="0"/>
      </rPr>
      <t>12水电上网线</t>
    </r>
  </si>
  <si>
    <t>113观大线</t>
  </si>
  <si>
    <r>
      <t>1</t>
    </r>
    <r>
      <rPr>
        <sz val="12"/>
        <rFont val="宋体"/>
        <family val="0"/>
      </rPr>
      <t>14观兴线</t>
    </r>
  </si>
  <si>
    <t>114农渔线</t>
  </si>
  <si>
    <t>113农盐线</t>
  </si>
  <si>
    <t>111鹿新线</t>
  </si>
  <si>
    <t>114鹿高线</t>
  </si>
  <si>
    <t>115鹿松线</t>
  </si>
  <si>
    <t>116鹿铁线</t>
  </si>
  <si>
    <t>填报人：李华</t>
  </si>
  <si>
    <t>填报单位：（盖章）佛坪县供电分公司</t>
  </si>
  <si>
    <r>
      <t>填报日期</t>
    </r>
    <r>
      <rPr>
        <sz val="12"/>
        <rFont val="Times New Roman"/>
        <family val="1"/>
      </rPr>
      <t>:     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</si>
  <si>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125长龙线</t>
  </si>
  <si>
    <t>√</t>
  </si>
  <si>
    <t>127城关线</t>
  </si>
  <si>
    <t>129城三线</t>
  </si>
  <si>
    <t>农大线</t>
  </si>
  <si>
    <t>123上网线</t>
  </si>
  <si>
    <t>朱家垭线</t>
  </si>
  <si>
    <t>郭家山</t>
  </si>
  <si>
    <t>大黄线</t>
  </si>
  <si>
    <r>
      <t>备注</t>
    </r>
    <r>
      <rPr>
        <sz val="12"/>
        <rFont val="Times New Roman"/>
        <family val="1"/>
      </rPr>
      <t>:1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127</t>
    </r>
    <r>
      <rPr>
        <sz val="12"/>
        <rFont val="宋体"/>
        <family val="0"/>
      </rPr>
      <t>城关线在升级改造中增加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台开关，</t>
    </r>
    <r>
      <rPr>
        <sz val="12"/>
        <rFont val="Times New Roman"/>
        <family val="1"/>
      </rPr>
      <t>129</t>
    </r>
    <r>
      <rPr>
        <sz val="12"/>
        <rFont val="宋体"/>
        <family val="0"/>
      </rPr>
      <t>城三线增加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台开关，大黄线拆除开关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台。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、城三线增加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台公网配变，</t>
    </r>
    <r>
      <rPr>
        <sz val="12"/>
        <rFont val="Times New Roman"/>
        <family val="1"/>
      </rPr>
      <t>80KVA</t>
    </r>
    <r>
      <rPr>
        <sz val="12"/>
        <rFont val="宋体"/>
        <family val="0"/>
      </rPr>
      <t>；客户专用变增加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台，增容</t>
    </r>
    <r>
      <rPr>
        <sz val="12"/>
        <rFont val="Times New Roman"/>
        <family val="1"/>
      </rPr>
      <t>1890KVA</t>
    </r>
    <r>
      <rPr>
        <sz val="12"/>
        <rFont val="宋体"/>
        <family val="0"/>
      </rPr>
      <t>；城关线增加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台公网配变，增加容量</t>
    </r>
    <r>
      <rPr>
        <sz val="12"/>
        <rFont val="Times New Roman"/>
        <family val="1"/>
      </rPr>
      <t>850KVA</t>
    </r>
    <r>
      <rPr>
        <sz val="12"/>
        <rFont val="宋体"/>
        <family val="0"/>
      </rPr>
      <t>，调换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台，增容</t>
    </r>
    <r>
      <rPr>
        <sz val="12"/>
        <rFont val="Times New Roman"/>
        <family val="1"/>
      </rPr>
      <t>365KVA</t>
    </r>
    <r>
      <rPr>
        <sz val="12"/>
        <rFont val="宋体"/>
        <family val="0"/>
      </rPr>
      <t>，客户专用变增容</t>
    </r>
    <r>
      <rPr>
        <sz val="12"/>
        <rFont val="Times New Roman"/>
        <family val="1"/>
      </rPr>
      <t>1680KVA</t>
    </r>
    <r>
      <rPr>
        <sz val="12"/>
        <rFont val="宋体"/>
        <family val="0"/>
      </rPr>
      <t>；农大线增加客户专用变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台，增容</t>
    </r>
    <r>
      <rPr>
        <sz val="12"/>
        <rFont val="Times New Roman"/>
        <family val="1"/>
      </rPr>
      <t>2090KVA</t>
    </r>
    <r>
      <rPr>
        <sz val="12"/>
        <rFont val="宋体"/>
        <family val="0"/>
      </rPr>
      <t>。</t>
    </r>
  </si>
  <si>
    <t>填报人：张东</t>
  </si>
  <si>
    <t>填报单位：（盖章）留坝县供电分公司</t>
  </si>
  <si>
    <r>
      <t>填报日期</t>
    </r>
    <r>
      <rPr>
        <sz val="12"/>
        <rFont val="Times New Roman"/>
        <family val="1"/>
      </rPr>
      <t>:  2013</t>
    </r>
    <r>
      <rPr>
        <sz val="12"/>
        <rFont val="宋体"/>
        <family val="0"/>
      </rPr>
      <t>年 12 月 30 日</t>
    </r>
    <r>
      <rPr>
        <sz val="12"/>
        <rFont val="Times New Roman"/>
        <family val="1"/>
      </rPr>
      <t xml:space="preserve"> </t>
    </r>
  </si>
  <si>
    <t>116城关线</t>
  </si>
  <si>
    <t>113城西线</t>
  </si>
  <si>
    <t>114农南线</t>
  </si>
  <si>
    <t>111农庙线</t>
  </si>
  <si>
    <t>114农石线</t>
  </si>
  <si>
    <t>115索道线</t>
  </si>
  <si>
    <t>112农峡线</t>
  </si>
  <si>
    <t>113农福线</t>
  </si>
  <si>
    <t>111马铁线</t>
  </si>
  <si>
    <t>114马青线</t>
  </si>
  <si>
    <t>111江口线</t>
  </si>
  <si>
    <t>114江狮线</t>
  </si>
  <si>
    <t>填报人：安选民</t>
  </si>
  <si>
    <t>宁陕县供电分公司</t>
  </si>
  <si>
    <r>
      <t>填报日期</t>
    </r>
    <r>
      <rPr>
        <sz val="12"/>
        <rFont val="Times New Roman"/>
        <family val="1"/>
      </rPr>
      <t>: 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</si>
  <si>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关上线</t>
  </si>
  <si>
    <t>东四线</t>
  </si>
  <si>
    <t>关导线</t>
  </si>
  <si>
    <t>关五线</t>
  </si>
  <si>
    <t>关汤线</t>
  </si>
  <si>
    <t>筒梅线</t>
  </si>
  <si>
    <t>筒新线</t>
  </si>
  <si>
    <t>筒四线</t>
  </si>
  <si>
    <t>沙广线</t>
  </si>
  <si>
    <t>沙江线</t>
  </si>
  <si>
    <t>沙金线</t>
  </si>
  <si>
    <t>沙旬线</t>
  </si>
  <si>
    <t>太新线</t>
  </si>
  <si>
    <t>太木线</t>
  </si>
  <si>
    <t>太铁线</t>
  </si>
  <si>
    <t xml:space="preserve">钢两线 </t>
  </si>
  <si>
    <t>钢正线</t>
  </si>
  <si>
    <t>高丰线</t>
  </si>
  <si>
    <t>广沙线</t>
  </si>
  <si>
    <t>广苦线</t>
  </si>
  <si>
    <t>五四线</t>
  </si>
  <si>
    <t>鑫裕专线</t>
  </si>
  <si>
    <t>五四3号斜井专线</t>
  </si>
  <si>
    <t>沙坪专线一</t>
  </si>
  <si>
    <t>沙坪专线二</t>
  </si>
  <si>
    <t xml:space="preserve">月腰线 </t>
  </si>
  <si>
    <t>大耳树</t>
  </si>
  <si>
    <t xml:space="preserve">沙梁子 </t>
  </si>
  <si>
    <t>石门</t>
  </si>
  <si>
    <t>马蹄岭</t>
  </si>
  <si>
    <t>秦岭上1#隧</t>
  </si>
  <si>
    <t>秦岭上2#隧</t>
  </si>
  <si>
    <t>秦岭上3#隧</t>
  </si>
  <si>
    <t>秦岭下1#隧</t>
  </si>
  <si>
    <t>秦岭下2#隧</t>
  </si>
  <si>
    <t>秦岭下3#隧</t>
  </si>
  <si>
    <t>秦岭服务区</t>
  </si>
  <si>
    <t>太山变专线</t>
  </si>
  <si>
    <t>太山廟-郭家坪</t>
  </si>
  <si>
    <t>五麻线</t>
  </si>
  <si>
    <t>海荣专线</t>
  </si>
  <si>
    <t>审核人：</t>
  </si>
  <si>
    <t>填报单位：（盖章）石泉县供电分公司</t>
  </si>
  <si>
    <r>
      <t>填报日期</t>
    </r>
    <r>
      <rPr>
        <sz val="12"/>
        <rFont val="Times New Roman"/>
        <family val="1"/>
      </rPr>
      <t>:     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1月06日</t>
    </r>
    <r>
      <rPr>
        <sz val="12"/>
        <rFont val="Times New Roman"/>
        <family val="1"/>
      </rPr>
      <t xml:space="preserve"> </t>
    </r>
  </si>
  <si>
    <t>马池集镇</t>
  </si>
  <si>
    <t>马石</t>
  </si>
  <si>
    <t>中池</t>
  </si>
  <si>
    <t>古堰饶峰</t>
  </si>
  <si>
    <t>新春</t>
  </si>
  <si>
    <t>两河</t>
  </si>
  <si>
    <t>兴坪</t>
  </si>
  <si>
    <t>石泉饶峰</t>
  </si>
  <si>
    <t>马池</t>
  </si>
  <si>
    <t>云川</t>
  </si>
  <si>
    <t>县城I线</t>
  </si>
  <si>
    <t>县城II线</t>
  </si>
  <si>
    <t>县城III线</t>
  </si>
  <si>
    <t>熨斗</t>
  </si>
  <si>
    <t>藕阳</t>
  </si>
  <si>
    <t>喜河集镇</t>
  </si>
  <si>
    <t>水泥（含粉末厂）</t>
  </si>
  <si>
    <t>栲胶</t>
  </si>
  <si>
    <t>池河高速收费站</t>
  </si>
  <si>
    <t>石泉高速I线</t>
  </si>
  <si>
    <t>石泉高速II线</t>
  </si>
  <si>
    <t>石泉高速III线</t>
  </si>
  <si>
    <t>长安坝馈路</t>
  </si>
  <si>
    <t>马岭关馈路</t>
  </si>
  <si>
    <t>长后馈路</t>
  </si>
  <si>
    <t>县城四线</t>
  </si>
  <si>
    <t>曾溪馈路</t>
  </si>
  <si>
    <t>毛想寨Ⅰ</t>
  </si>
  <si>
    <t>毛想寨Ⅱ</t>
  </si>
  <si>
    <t>慕家梁</t>
  </si>
  <si>
    <t>邓永辉</t>
  </si>
  <si>
    <t>填报单位：汉阴县供电分公司（盖章）</t>
  </si>
  <si>
    <r>
      <t>填报日期</t>
    </r>
    <r>
      <rPr>
        <sz val="12"/>
        <rFont val="Times New Roman"/>
        <family val="1"/>
      </rPr>
      <t>:2013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</si>
  <si>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131县城Ⅰ回</t>
  </si>
  <si>
    <t>124县城Ⅱ回</t>
  </si>
  <si>
    <t>125高粱馈路</t>
  </si>
  <si>
    <t>128县城三回</t>
  </si>
  <si>
    <t>131酒店线</t>
  </si>
  <si>
    <t>125凤江线</t>
  </si>
  <si>
    <t>121汉阳线</t>
  </si>
  <si>
    <t>129渭溪线</t>
  </si>
  <si>
    <t>125铁佛馈路</t>
  </si>
  <si>
    <t>126双药馈路</t>
  </si>
  <si>
    <t>122铜钱线</t>
  </si>
  <si>
    <t>125先进线（蒲溪收费站）</t>
  </si>
  <si>
    <t>121黄龙金矿</t>
  </si>
  <si>
    <t>124燊乾线</t>
  </si>
  <si>
    <t>127平梁（汉阴服务区）</t>
  </si>
  <si>
    <t>114高速（汉阴收费站）</t>
  </si>
  <si>
    <t>126金矿线（汉源水泥厂）</t>
  </si>
  <si>
    <t>129高梁线</t>
  </si>
  <si>
    <t>123太平线</t>
  </si>
  <si>
    <t>127清河线</t>
  </si>
  <si>
    <t>124平梁线</t>
  </si>
  <si>
    <t>123双乳线</t>
  </si>
  <si>
    <t>131中昌线</t>
  </si>
  <si>
    <t>132建材线</t>
  </si>
  <si>
    <t>117金圣线</t>
  </si>
  <si>
    <t>121月河线</t>
  </si>
  <si>
    <t>119月河线</t>
  </si>
  <si>
    <t>127油厂专线</t>
  </si>
  <si>
    <t>紫阳县供电分公司</t>
  </si>
  <si>
    <r>
      <t>填报日期：2</t>
    </r>
    <r>
      <rPr>
        <sz val="12"/>
        <rFont val="宋体"/>
        <family val="0"/>
      </rPr>
      <t>013年1月6日</t>
    </r>
  </si>
  <si>
    <t>真空</t>
  </si>
  <si>
    <r>
      <t>1</t>
    </r>
    <r>
      <rPr>
        <sz val="12"/>
        <rFont val="宋体"/>
        <family val="0"/>
      </rPr>
      <t>16焕古馈路</t>
    </r>
  </si>
  <si>
    <t>114向阳</t>
  </si>
  <si>
    <r>
      <t>1</t>
    </r>
    <r>
      <rPr>
        <sz val="12"/>
        <rFont val="宋体"/>
        <family val="0"/>
      </rPr>
      <t>17</t>
    </r>
    <r>
      <rPr>
        <sz val="12"/>
        <rFont val="宋体"/>
        <family val="0"/>
      </rPr>
      <t>米溪梁出口2</t>
    </r>
  </si>
  <si>
    <r>
      <t>1</t>
    </r>
    <r>
      <rPr>
        <sz val="12"/>
        <rFont val="宋体"/>
        <family val="0"/>
      </rPr>
      <t>11</t>
    </r>
    <r>
      <rPr>
        <sz val="12"/>
        <rFont val="宋体"/>
        <family val="0"/>
      </rPr>
      <t>葫芦颈</t>
    </r>
  </si>
  <si>
    <r>
      <t>1</t>
    </r>
    <r>
      <rPr>
        <sz val="12"/>
        <rFont val="宋体"/>
        <family val="0"/>
      </rPr>
      <t>12</t>
    </r>
    <r>
      <rPr>
        <sz val="12"/>
        <rFont val="宋体"/>
        <family val="0"/>
      </rPr>
      <t>蚂蝗梁</t>
    </r>
  </si>
  <si>
    <r>
      <t>1</t>
    </r>
    <r>
      <rPr>
        <sz val="12"/>
        <rFont val="宋体"/>
        <family val="0"/>
      </rPr>
      <t>15</t>
    </r>
    <r>
      <rPr>
        <sz val="12"/>
        <rFont val="宋体"/>
        <family val="0"/>
      </rPr>
      <t>米溪梁出口1</t>
    </r>
  </si>
  <si>
    <r>
      <t>1</t>
    </r>
    <r>
      <rPr>
        <sz val="12"/>
        <rFont val="宋体"/>
        <family val="0"/>
      </rPr>
      <t>18</t>
    </r>
    <r>
      <rPr>
        <sz val="12"/>
        <rFont val="宋体"/>
        <family val="0"/>
      </rPr>
      <t>城区1</t>
    </r>
  </si>
  <si>
    <r>
      <t>1</t>
    </r>
    <r>
      <rPr>
        <sz val="12"/>
        <rFont val="宋体"/>
        <family val="0"/>
      </rPr>
      <t>19</t>
    </r>
    <r>
      <rPr>
        <sz val="12"/>
        <rFont val="宋体"/>
        <family val="0"/>
      </rPr>
      <t>城区2</t>
    </r>
  </si>
  <si>
    <r>
      <t>1</t>
    </r>
    <r>
      <rPr>
        <sz val="12"/>
        <rFont val="宋体"/>
        <family val="0"/>
      </rPr>
      <t>11</t>
    </r>
    <r>
      <rPr>
        <sz val="12"/>
        <rFont val="宋体"/>
        <family val="0"/>
      </rPr>
      <t>界岭</t>
    </r>
  </si>
  <si>
    <r>
      <t>1</t>
    </r>
    <r>
      <rPr>
        <sz val="12"/>
        <rFont val="宋体"/>
        <family val="0"/>
      </rPr>
      <t>12</t>
    </r>
    <r>
      <rPr>
        <sz val="12"/>
        <rFont val="宋体"/>
        <family val="0"/>
      </rPr>
      <t>斑桃</t>
    </r>
  </si>
  <si>
    <r>
      <t>1</t>
    </r>
    <r>
      <rPr>
        <sz val="12"/>
        <rFont val="宋体"/>
        <family val="0"/>
      </rPr>
      <t>13</t>
    </r>
    <r>
      <rPr>
        <sz val="12"/>
        <rFont val="宋体"/>
        <family val="0"/>
      </rPr>
      <t>双桥</t>
    </r>
  </si>
  <si>
    <r>
      <t>1</t>
    </r>
    <r>
      <rPr>
        <sz val="12"/>
        <rFont val="宋体"/>
        <family val="0"/>
      </rPr>
      <t>14</t>
    </r>
    <r>
      <rPr>
        <sz val="12"/>
        <rFont val="宋体"/>
        <family val="0"/>
      </rPr>
      <t>洄水</t>
    </r>
  </si>
  <si>
    <r>
      <t>1</t>
    </r>
    <r>
      <rPr>
        <sz val="12"/>
        <rFont val="宋体"/>
        <family val="0"/>
      </rPr>
      <t>13</t>
    </r>
    <r>
      <rPr>
        <sz val="12"/>
        <rFont val="宋体"/>
        <family val="0"/>
      </rPr>
      <t>毛坝</t>
    </r>
  </si>
  <si>
    <r>
      <t>1</t>
    </r>
    <r>
      <rPr>
        <sz val="12"/>
        <rFont val="宋体"/>
        <family val="0"/>
      </rPr>
      <t>11</t>
    </r>
    <r>
      <rPr>
        <sz val="12"/>
        <rFont val="宋体"/>
        <family val="0"/>
      </rPr>
      <t>高滩</t>
    </r>
  </si>
  <si>
    <r>
      <t>1</t>
    </r>
    <r>
      <rPr>
        <sz val="12"/>
        <rFont val="宋体"/>
        <family val="0"/>
      </rPr>
      <t>14</t>
    </r>
    <r>
      <rPr>
        <sz val="12"/>
        <rFont val="宋体"/>
        <family val="0"/>
      </rPr>
      <t>芭蕉出口</t>
    </r>
  </si>
  <si>
    <r>
      <t>1</t>
    </r>
    <r>
      <rPr>
        <sz val="12"/>
        <rFont val="宋体"/>
        <family val="0"/>
      </rPr>
      <t>15</t>
    </r>
    <r>
      <rPr>
        <sz val="12"/>
        <rFont val="宋体"/>
        <family val="0"/>
      </rPr>
      <t>毛坝1#进口</t>
    </r>
  </si>
  <si>
    <r>
      <t>1</t>
    </r>
    <r>
      <rPr>
        <sz val="12"/>
        <rFont val="宋体"/>
        <family val="0"/>
      </rPr>
      <t>11</t>
    </r>
    <r>
      <rPr>
        <sz val="12"/>
        <rFont val="宋体"/>
        <family val="0"/>
      </rPr>
      <t>蒿坪</t>
    </r>
  </si>
  <si>
    <r>
      <t>1</t>
    </r>
    <r>
      <rPr>
        <sz val="12"/>
        <rFont val="宋体"/>
        <family val="0"/>
      </rPr>
      <t>12</t>
    </r>
    <r>
      <rPr>
        <sz val="12"/>
        <rFont val="宋体"/>
        <family val="0"/>
      </rPr>
      <t>汉城</t>
    </r>
  </si>
  <si>
    <r>
      <t>1</t>
    </r>
    <r>
      <rPr>
        <sz val="12"/>
        <rFont val="宋体"/>
        <family val="0"/>
      </rPr>
      <t>13</t>
    </r>
    <r>
      <rPr>
        <sz val="12"/>
        <rFont val="宋体"/>
        <family val="0"/>
      </rPr>
      <t>双安</t>
    </r>
  </si>
  <si>
    <r>
      <t>1</t>
    </r>
    <r>
      <rPr>
        <sz val="12"/>
        <rFont val="宋体"/>
        <family val="0"/>
      </rPr>
      <t>14</t>
    </r>
    <r>
      <rPr>
        <sz val="12"/>
        <rFont val="宋体"/>
        <family val="0"/>
      </rPr>
      <t>红椿</t>
    </r>
  </si>
  <si>
    <r>
      <t>1</t>
    </r>
    <r>
      <rPr>
        <sz val="12"/>
        <rFont val="宋体"/>
        <family val="0"/>
      </rPr>
      <t>11</t>
    </r>
    <r>
      <rPr>
        <sz val="12"/>
        <rFont val="宋体"/>
        <family val="0"/>
      </rPr>
      <t>城区Ⅴ回</t>
    </r>
  </si>
  <si>
    <t>115芭蕉出口</t>
  </si>
  <si>
    <t>113高桥</t>
  </si>
  <si>
    <r>
      <t>1</t>
    </r>
    <r>
      <rPr>
        <sz val="12"/>
        <rFont val="宋体"/>
        <family val="0"/>
      </rPr>
      <t>11</t>
    </r>
    <r>
      <rPr>
        <sz val="12"/>
        <rFont val="宋体"/>
        <family val="0"/>
      </rPr>
      <t>蒿坪出线</t>
    </r>
  </si>
  <si>
    <r>
      <t>1</t>
    </r>
    <r>
      <rPr>
        <sz val="12"/>
        <rFont val="宋体"/>
        <family val="0"/>
      </rPr>
      <t>16</t>
    </r>
    <r>
      <rPr>
        <sz val="12"/>
        <rFont val="宋体"/>
        <family val="0"/>
      </rPr>
      <t>朱家堰塘2</t>
    </r>
  </si>
  <si>
    <r>
      <t>1</t>
    </r>
    <r>
      <rPr>
        <sz val="12"/>
        <rFont val="宋体"/>
        <family val="0"/>
      </rPr>
      <t>15</t>
    </r>
    <r>
      <rPr>
        <sz val="12"/>
        <rFont val="宋体"/>
        <family val="0"/>
      </rPr>
      <t>朱家堰塘1</t>
    </r>
  </si>
  <si>
    <r>
      <t>1</t>
    </r>
    <r>
      <rPr>
        <sz val="12"/>
        <rFont val="宋体"/>
        <family val="0"/>
      </rPr>
      <t>14</t>
    </r>
    <r>
      <rPr>
        <sz val="12"/>
        <rFont val="宋体"/>
        <family val="0"/>
      </rPr>
      <t>火神梁</t>
    </r>
  </si>
  <si>
    <r>
      <t>1</t>
    </r>
    <r>
      <rPr>
        <sz val="12"/>
        <rFont val="宋体"/>
        <family val="0"/>
      </rPr>
      <t>21</t>
    </r>
    <r>
      <rPr>
        <sz val="12"/>
        <rFont val="宋体"/>
        <family val="0"/>
      </rPr>
      <t>麻柳隧道出口</t>
    </r>
  </si>
  <si>
    <r>
      <t>1</t>
    </r>
    <r>
      <rPr>
        <sz val="12"/>
        <rFont val="宋体"/>
        <family val="0"/>
      </rPr>
      <t>27</t>
    </r>
    <r>
      <rPr>
        <sz val="12"/>
        <rFont val="宋体"/>
        <family val="0"/>
      </rPr>
      <t>毛坝隧道2#出口</t>
    </r>
  </si>
  <si>
    <r>
      <t>1</t>
    </r>
    <r>
      <rPr>
        <sz val="12"/>
        <rFont val="宋体"/>
        <family val="0"/>
      </rPr>
      <t>23</t>
    </r>
    <r>
      <rPr>
        <sz val="12"/>
        <rFont val="宋体"/>
        <family val="0"/>
      </rPr>
      <t>毛坝隧道2#进口</t>
    </r>
  </si>
  <si>
    <t>高桥铁矿专线</t>
  </si>
  <si>
    <t>高桥出线（手拉手）</t>
  </si>
  <si>
    <r>
      <t>备注：1、20</t>
    </r>
    <r>
      <rPr>
        <sz val="12"/>
        <rFont val="宋体"/>
        <family val="0"/>
      </rPr>
      <t>12</t>
    </r>
    <r>
      <rPr>
        <sz val="12"/>
        <rFont val="宋体"/>
        <family val="0"/>
      </rPr>
      <t>年农网新建10KV线路</t>
    </r>
    <r>
      <rPr>
        <sz val="12"/>
        <rFont val="宋体"/>
        <family val="0"/>
      </rPr>
      <t>4.76</t>
    </r>
    <r>
      <rPr>
        <sz val="12"/>
        <rFont val="宋体"/>
        <family val="0"/>
      </rPr>
      <t>km。10KV线路由原来</t>
    </r>
    <r>
      <rPr>
        <sz val="12"/>
        <rFont val="宋体"/>
        <family val="0"/>
      </rPr>
      <t>1438.78</t>
    </r>
    <r>
      <rPr>
        <sz val="12"/>
        <rFont val="宋体"/>
        <family val="0"/>
      </rPr>
      <t>KM增加至</t>
    </r>
    <r>
      <rPr>
        <sz val="12"/>
        <rFont val="宋体"/>
        <family val="0"/>
      </rPr>
      <t>1443.56</t>
    </r>
    <r>
      <rPr>
        <sz val="12"/>
        <rFont val="宋体"/>
        <family val="0"/>
      </rPr>
      <t xml:space="preserve">KM。
</t>
    </r>
    <r>
      <rPr>
        <sz val="12"/>
        <rFont val="宋体"/>
        <family val="0"/>
      </rPr>
      <t xml:space="preserve">      2、居民负荷不断增长，原容量较小的配变已满足不了用户需求，变台扩容后，</t>
    </r>
    <r>
      <rPr>
        <sz val="12"/>
        <rFont val="宋体"/>
        <family val="0"/>
      </rPr>
      <t>配变容量由原来</t>
    </r>
    <r>
      <rPr>
        <sz val="12"/>
        <rFont val="宋体"/>
        <family val="0"/>
      </rPr>
      <t>135522</t>
    </r>
    <r>
      <rPr>
        <sz val="12"/>
        <rFont val="宋体"/>
        <family val="0"/>
      </rPr>
      <t>KVA增加至</t>
    </r>
    <r>
      <rPr>
        <sz val="12"/>
        <rFont val="宋体"/>
        <family val="0"/>
      </rPr>
      <t>141108</t>
    </r>
    <r>
      <rPr>
        <sz val="12"/>
        <rFont val="宋体"/>
        <family val="0"/>
      </rPr>
      <t xml:space="preserve">KVA。
</t>
    </r>
    <r>
      <rPr>
        <sz val="12"/>
        <rFont val="宋体"/>
        <family val="0"/>
      </rPr>
      <t xml:space="preserve">      3、</t>
    </r>
    <r>
      <rPr>
        <sz val="12"/>
        <rFont val="宋体"/>
        <family val="0"/>
      </rPr>
      <t>由于高速公路收尾工程已全面竣工，用户配变退出运行，配电变压器由原来</t>
    </r>
    <r>
      <rPr>
        <sz val="12"/>
        <rFont val="宋体"/>
        <family val="0"/>
      </rPr>
      <t>1253</t>
    </r>
    <r>
      <rPr>
        <sz val="12"/>
        <rFont val="宋体"/>
        <family val="0"/>
      </rPr>
      <t>台减少至</t>
    </r>
    <r>
      <rPr>
        <sz val="12"/>
        <rFont val="宋体"/>
        <family val="0"/>
      </rPr>
      <t>1245</t>
    </r>
    <r>
      <rPr>
        <sz val="12"/>
        <rFont val="宋体"/>
        <family val="0"/>
      </rPr>
      <t>台。</t>
    </r>
  </si>
  <si>
    <t>填报单位：（盖章）平利供电分公司</t>
  </si>
  <si>
    <r>
      <t>填报日期</t>
    </r>
    <r>
      <rPr>
        <sz val="12"/>
        <rFont val="Times New Roman"/>
        <family val="1"/>
      </rPr>
      <t>: 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</si>
  <si>
    <t>121城区1</t>
  </si>
  <si>
    <t>121县城1</t>
  </si>
  <si>
    <t>126县城2</t>
  </si>
  <si>
    <t>129西区</t>
  </si>
  <si>
    <t>127城南</t>
  </si>
  <si>
    <t>123城区2</t>
  </si>
  <si>
    <t>127八里</t>
  </si>
  <si>
    <t>125洛河</t>
  </si>
  <si>
    <t>123三阳</t>
  </si>
  <si>
    <t>129金岭</t>
  </si>
  <si>
    <t>127大贵</t>
  </si>
  <si>
    <t>121老县</t>
  </si>
  <si>
    <t>水泥二厂</t>
  </si>
  <si>
    <t>125水泥三厂</t>
  </si>
  <si>
    <t>127水泥四厂</t>
  </si>
  <si>
    <t>129化工厂</t>
  </si>
  <si>
    <t>125八道</t>
  </si>
  <si>
    <t>131广佛</t>
  </si>
  <si>
    <t>129秋河</t>
  </si>
  <si>
    <t>127桃坪</t>
  </si>
  <si>
    <t>125兴隆</t>
  </si>
  <si>
    <t>123西河</t>
  </si>
  <si>
    <t>121清太</t>
  </si>
  <si>
    <t>121正阳</t>
  </si>
  <si>
    <t>129松鸦</t>
  </si>
  <si>
    <t>123八仙</t>
  </si>
  <si>
    <t>131八仙电站</t>
  </si>
  <si>
    <t>121金龙水泥厂4</t>
  </si>
  <si>
    <t>123金龙水泥厂5</t>
  </si>
  <si>
    <t>125金龙水泥厂6</t>
  </si>
  <si>
    <t>125长安</t>
  </si>
  <si>
    <t>宝林矿业</t>
  </si>
  <si>
    <t>131绿能电站</t>
  </si>
  <si>
    <t>高速女娲山段</t>
  </si>
  <si>
    <t>123凤凰</t>
  </si>
  <si>
    <t>单位：</t>
  </si>
  <si>
    <t>镇坪供电分公司</t>
  </si>
  <si>
    <r>
      <t>填报日期</t>
    </r>
    <r>
      <rPr>
        <sz val="12"/>
        <rFont val="Times New Roman"/>
        <family val="1"/>
      </rPr>
      <t xml:space="preserve">:     2012   </t>
    </r>
    <r>
      <rPr>
        <sz val="12"/>
        <rFont val="宋体"/>
        <family val="0"/>
      </rPr>
      <t>年 1 月  6日</t>
    </r>
    <r>
      <rPr>
        <sz val="12"/>
        <rFont val="Times New Roman"/>
        <family val="1"/>
      </rPr>
      <t xml:space="preserve"> </t>
    </r>
  </si>
  <si>
    <t>城区馈路Ⅰ</t>
  </si>
  <si>
    <t>城区馈路Ⅱ</t>
  </si>
  <si>
    <t>曙河馈路</t>
  </si>
  <si>
    <t>钟宝馈路</t>
  </si>
  <si>
    <t>南江馈路</t>
  </si>
  <si>
    <t>上竹馈路</t>
  </si>
  <si>
    <t>斐河馈路</t>
  </si>
  <si>
    <t>牛头店馈路</t>
  </si>
  <si>
    <t>红阳馈路</t>
  </si>
  <si>
    <t>填报人：张宁</t>
  </si>
  <si>
    <r>
      <t>填报日期</t>
    </r>
    <r>
      <rPr>
        <sz val="12"/>
        <rFont val="Times New Roman"/>
        <family val="1"/>
      </rPr>
      <t>:         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  月 10 日</t>
    </r>
    <r>
      <rPr>
        <sz val="12"/>
        <rFont val="Times New Roman"/>
        <family val="1"/>
      </rPr>
      <t xml:space="preserve"> </t>
    </r>
  </si>
  <si>
    <t>城号线</t>
  </si>
  <si>
    <t>城肖线</t>
  </si>
  <si>
    <t>城平线</t>
  </si>
  <si>
    <t>城四线</t>
  </si>
  <si>
    <t>城滔线</t>
  </si>
  <si>
    <t>城蔺线</t>
  </si>
  <si>
    <t>城六线</t>
  </si>
  <si>
    <t>城工线</t>
  </si>
  <si>
    <t>城方线</t>
  </si>
  <si>
    <t>城堰线</t>
  </si>
  <si>
    <t>铁铜线</t>
  </si>
  <si>
    <t>铁官线</t>
  </si>
  <si>
    <t>铁大线</t>
  </si>
  <si>
    <t>铁神线</t>
  </si>
  <si>
    <t>佐晓线</t>
  </si>
  <si>
    <t>佐杜线</t>
  </si>
  <si>
    <t>花九线</t>
  </si>
  <si>
    <t>花洋线</t>
  </si>
  <si>
    <t>花向线</t>
  </si>
  <si>
    <t>花滴线</t>
  </si>
  <si>
    <t>花桃线</t>
  </si>
  <si>
    <t>花西线</t>
  </si>
  <si>
    <t>蔺芳线</t>
  </si>
  <si>
    <t>蔺滔线</t>
  </si>
  <si>
    <t>蔺齐线</t>
  </si>
  <si>
    <t>大坝线</t>
  </si>
  <si>
    <t>水泥厂线</t>
  </si>
  <si>
    <t>填报人：张玉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</si>
</sst>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000"/>
    <numFmt numFmtId="180" formatCode="0_);[Red]\(0\)"/>
    <numFmt numFmtId="181" formatCode="0.0000_);[Red]\(0.0000\)"/>
    <numFmt numFmtId="182" formatCode="0.00_);[Red]\(0.00\)"/>
    <numFmt numFmtId="183" formatCode="0.0_ "/>
    <numFmt numFmtId="184" formatCode="0.0000_ "/>
    <numFmt numFmtId="185" formatCode="0;[Red]0"/>
    <numFmt numFmtId="186" formatCode="0.000_);[Red]\(0.000\)"/>
    <numFmt numFmtId="187" formatCode="0.000;[Red]0.000"/>
    <numFmt numFmtId="188" formatCode="0.0_);[Red]\(0.0\)"/>
    <numFmt numFmtId="189" formatCode="0.00;[Red]0.00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53"/>
      <name val="宋体"/>
      <family val="0"/>
    </font>
    <font>
      <sz val="10"/>
      <name val="Helv"/>
      <family val="2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18" fillId="0" borderId="0">
      <alignment/>
      <protection/>
    </xf>
    <xf numFmtId="0" fontId="22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5" fillId="0" borderId="3" applyNumberFormat="0" applyFill="0" applyAlignment="0" applyProtection="0"/>
    <xf numFmtId="0" fontId="32" fillId="0" borderId="4" applyNumberFormat="0" applyFill="0" applyAlignment="0" applyProtection="0"/>
    <xf numFmtId="0" fontId="22" fillId="4" borderId="0" applyNumberFormat="0" applyBorder="0" applyAlignment="0" applyProtection="0"/>
    <xf numFmtId="0" fontId="31" fillId="0" borderId="5" applyNumberFormat="0" applyFill="0" applyAlignment="0" applyProtection="0"/>
    <xf numFmtId="0" fontId="22" fillId="4" borderId="0" applyNumberFormat="0" applyBorder="0" applyAlignment="0" applyProtection="0"/>
    <xf numFmtId="0" fontId="27" fillId="7" borderId="6" applyNumberFormat="0" applyAlignment="0" applyProtection="0"/>
    <xf numFmtId="0" fontId="36" fillId="7" borderId="1" applyNumberFormat="0" applyAlignment="0" applyProtection="0"/>
    <xf numFmtId="0" fontId="37" fillId="8" borderId="7" applyNumberFormat="0" applyAlignment="0" applyProtection="0"/>
    <xf numFmtId="0" fontId="24" fillId="5" borderId="0" applyNumberFormat="0" applyBorder="0" applyAlignment="0" applyProtection="0"/>
    <xf numFmtId="0" fontId="22" fillId="9" borderId="0" applyNumberFormat="0" applyBorder="0" applyAlignment="0" applyProtection="0"/>
    <xf numFmtId="0" fontId="30" fillId="0" borderId="8" applyNumberFormat="0" applyFill="0" applyAlignment="0" applyProtection="0"/>
    <xf numFmtId="0" fontId="38" fillId="0" borderId="9" applyNumberFormat="0" applyFill="0" applyAlignment="0" applyProtection="0"/>
    <xf numFmtId="0" fontId="23" fillId="3" borderId="0" applyNumberFormat="0" applyBorder="0" applyAlignment="0" applyProtection="0"/>
    <xf numFmtId="0" fontId="39" fillId="10" borderId="0" applyNumberFormat="0" applyBorder="0" applyAlignment="0" applyProtection="0"/>
    <xf numFmtId="0" fontId="24" fillId="2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2" fillId="15" borderId="0" applyNumberFormat="0" applyBorder="0" applyAlignment="0" applyProtection="0"/>
    <xf numFmtId="0" fontId="24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4" fillId="0" borderId="0">
      <alignment vertical="center"/>
      <protection/>
    </xf>
    <xf numFmtId="0" fontId="24" fillId="5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</cellStyleXfs>
  <cellXfs count="943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76" fontId="0" fillId="7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/>
    </xf>
    <xf numFmtId="176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176" fontId="0" fillId="7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7" borderId="14" xfId="94" applyFill="1" applyBorder="1">
      <alignment/>
      <protection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94" applyFill="1" applyBorder="1">
      <alignment/>
      <protection/>
    </xf>
    <xf numFmtId="0" fontId="0" fillId="0" borderId="2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7" borderId="14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91" applyBorder="1" applyAlignment="1">
      <alignment horizontal="center" vertical="center"/>
      <protection/>
    </xf>
    <xf numFmtId="0" fontId="0" fillId="0" borderId="0" xfId="91" applyAlignment="1">
      <alignment horizontal="center" vertical="center"/>
      <protection/>
    </xf>
    <xf numFmtId="0" fontId="4" fillId="0" borderId="0" xfId="91" applyFont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0" fillId="0" borderId="19" xfId="91" applyBorder="1" applyAlignment="1">
      <alignment horizontal="center" vertical="center"/>
      <protection/>
    </xf>
    <xf numFmtId="0" fontId="0" fillId="0" borderId="19" xfId="91" applyBorder="1" applyAlignment="1">
      <alignment vertical="center"/>
      <protection/>
    </xf>
    <xf numFmtId="0" fontId="0" fillId="0" borderId="10" xfId="91" applyBorder="1" applyAlignment="1">
      <alignment horizontal="center" vertical="center"/>
      <protection/>
    </xf>
    <xf numFmtId="0" fontId="0" fillId="0" borderId="11" xfId="91" applyBorder="1" applyAlignment="1">
      <alignment horizontal="center" vertical="center"/>
      <protection/>
    </xf>
    <xf numFmtId="0" fontId="0" fillId="0" borderId="12" xfId="91" applyBorder="1" applyAlignment="1">
      <alignment horizontal="center" vertical="center"/>
      <protection/>
    </xf>
    <xf numFmtId="0" fontId="0" fillId="0" borderId="13" xfId="91" applyBorder="1" applyAlignment="1">
      <alignment horizontal="center" vertical="center"/>
      <protection/>
    </xf>
    <xf numFmtId="0" fontId="3" fillId="0" borderId="12" xfId="91" applyFont="1" applyBorder="1" applyAlignment="1">
      <alignment horizontal="center" vertical="center"/>
      <protection/>
    </xf>
    <xf numFmtId="0" fontId="3" fillId="0" borderId="11" xfId="91" applyFont="1" applyBorder="1" applyAlignment="1">
      <alignment horizontal="center" vertical="center"/>
      <protection/>
    </xf>
    <xf numFmtId="0" fontId="0" fillId="0" borderId="14" xfId="91" applyBorder="1" applyAlignment="1">
      <alignment horizontal="center" vertical="center"/>
      <protection/>
    </xf>
    <xf numFmtId="0" fontId="0" fillId="0" borderId="13" xfId="91" applyFill="1" applyBorder="1" applyAlignment="1">
      <alignment horizontal="center" vertical="center"/>
      <protection/>
    </xf>
    <xf numFmtId="0" fontId="0" fillId="0" borderId="15" xfId="91" applyBorder="1" applyAlignment="1">
      <alignment horizontal="center" vertical="center"/>
      <protection/>
    </xf>
    <xf numFmtId="0" fontId="0" fillId="0" borderId="16" xfId="91" applyBorder="1" applyAlignment="1">
      <alignment horizontal="center" vertical="center"/>
      <protection/>
    </xf>
    <xf numFmtId="0" fontId="0" fillId="0" borderId="22" xfId="91" applyBorder="1" applyAlignment="1">
      <alignment horizontal="center" vertical="center"/>
      <protection/>
    </xf>
    <xf numFmtId="176" fontId="0" fillId="0" borderId="10" xfId="91" applyNumberFormat="1" applyBorder="1" applyAlignment="1">
      <alignment horizontal="center" vertical="center"/>
      <protection/>
    </xf>
    <xf numFmtId="0" fontId="0" fillId="0" borderId="17" xfId="91" applyBorder="1" applyAlignment="1">
      <alignment horizontal="center" vertical="center"/>
      <protection/>
    </xf>
    <xf numFmtId="0" fontId="0" fillId="0" borderId="18" xfId="91" applyBorder="1" applyAlignment="1">
      <alignment horizontal="center" vertical="center"/>
      <protection/>
    </xf>
    <xf numFmtId="0" fontId="3" fillId="0" borderId="0" xfId="91" applyFont="1" applyAlignment="1">
      <alignment horizontal="center" vertical="center"/>
      <protection/>
    </xf>
    <xf numFmtId="0" fontId="0" fillId="0" borderId="20" xfId="91" applyBorder="1" applyAlignment="1">
      <alignment horizontal="center" vertical="center"/>
      <protection/>
    </xf>
    <xf numFmtId="0" fontId="6" fillId="0" borderId="14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0" fillId="0" borderId="21" xfId="91" applyBorder="1" applyAlignment="1">
      <alignment horizontal="center" vertical="center"/>
      <protection/>
    </xf>
    <xf numFmtId="0" fontId="3" fillId="0" borderId="14" xfId="91" applyFont="1" applyBorder="1" applyAlignment="1">
      <alignment horizontal="center" vertical="center"/>
      <protection/>
    </xf>
    <xf numFmtId="0" fontId="3" fillId="0" borderId="10" xfId="91" applyFont="1" applyBorder="1" applyAlignment="1">
      <alignment horizontal="center" vertical="center"/>
      <protection/>
    </xf>
    <xf numFmtId="0" fontId="0" fillId="0" borderId="23" xfId="9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2" fillId="0" borderId="0" xfId="91" applyFont="1" applyAlignment="1">
      <alignment horizontal="center" vertical="center"/>
      <protection/>
    </xf>
    <xf numFmtId="0" fontId="1" fillId="0" borderId="14" xfId="91" applyFont="1" applyBorder="1" applyAlignment="1">
      <alignment horizontal="center" vertical="center"/>
      <protection/>
    </xf>
    <xf numFmtId="0" fontId="1" fillId="0" borderId="11" xfId="91" applyFont="1" applyBorder="1" applyAlignment="1">
      <alignment horizontal="center" vertical="center"/>
      <protection/>
    </xf>
    <xf numFmtId="0" fontId="1" fillId="16" borderId="11" xfId="91" applyFont="1" applyFill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1" fillId="7" borderId="11" xfId="91" applyFont="1" applyFill="1" applyBorder="1" applyAlignment="1">
      <alignment horizontal="center" vertical="center"/>
      <protection/>
    </xf>
    <xf numFmtId="0" fontId="1" fillId="0" borderId="12" xfId="91" applyFont="1" applyBorder="1" applyAlignment="1">
      <alignment horizontal="center" vertical="center"/>
      <protection/>
    </xf>
    <xf numFmtId="0" fontId="1" fillId="7" borderId="12" xfId="91" applyFont="1" applyFill="1" applyBorder="1" applyAlignment="1">
      <alignment horizontal="center" vertical="center"/>
      <protection/>
    </xf>
    <xf numFmtId="0" fontId="1" fillId="0" borderId="22" xfId="91" applyFont="1" applyBorder="1" applyAlignment="1">
      <alignment horizontal="center" vertical="center"/>
      <protection/>
    </xf>
    <xf numFmtId="0" fontId="1" fillId="0" borderId="10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/>
      <protection/>
    </xf>
    <xf numFmtId="0" fontId="0" fillId="17" borderId="11" xfId="91" applyFill="1" applyBorder="1" applyAlignment="1">
      <alignment horizontal="center" vertical="center"/>
      <protection/>
    </xf>
    <xf numFmtId="176" fontId="0" fillId="0" borderId="11" xfId="91" applyNumberFormat="1" applyBorder="1" applyAlignment="1">
      <alignment horizontal="center" vertical="center"/>
      <protection/>
    </xf>
    <xf numFmtId="176" fontId="0" fillId="0" borderId="11" xfId="91" applyNumberFormat="1" applyFont="1" applyBorder="1" applyAlignment="1">
      <alignment horizontal="center" vertical="center"/>
      <protection/>
    </xf>
    <xf numFmtId="0" fontId="0" fillId="0" borderId="0" xfId="92" applyFill="1" applyAlignment="1">
      <alignment horizontal="center" vertical="center" wrapText="1"/>
      <protection/>
    </xf>
    <xf numFmtId="1" fontId="0" fillId="0" borderId="0" xfId="92" applyNumberFormat="1" applyFill="1" applyAlignment="1">
      <alignment horizontal="center" vertical="center" wrapText="1"/>
      <protection/>
    </xf>
    <xf numFmtId="0" fontId="4" fillId="0" borderId="0" xfId="26" applyFont="1" applyFill="1" applyAlignment="1">
      <alignment horizontal="center" vertical="center" wrapText="1"/>
      <protection/>
    </xf>
    <xf numFmtId="0" fontId="5" fillId="0" borderId="0" xfId="26" applyFont="1" applyFill="1" applyAlignment="1">
      <alignment horizontal="center" vertical="center" wrapText="1"/>
      <protection/>
    </xf>
    <xf numFmtId="0" fontId="0" fillId="0" borderId="19" xfId="26" applyFill="1" applyBorder="1" applyAlignment="1">
      <alignment horizontal="center" vertical="center" wrapText="1"/>
      <protection/>
    </xf>
    <xf numFmtId="0" fontId="0" fillId="0" borderId="0" xfId="26" applyFill="1" applyAlignment="1">
      <alignment horizontal="center" vertical="center" wrapText="1"/>
      <protection/>
    </xf>
    <xf numFmtId="0" fontId="0" fillId="0" borderId="19" xfId="26" applyFont="1" applyFill="1" applyBorder="1" applyAlignment="1">
      <alignment horizontal="center" vertical="center" wrapText="1"/>
      <protection/>
    </xf>
    <xf numFmtId="0" fontId="0" fillId="0" borderId="10" xfId="26" applyFill="1" applyBorder="1" applyAlignment="1">
      <alignment horizontal="center" vertical="center" wrapText="1"/>
      <protection/>
    </xf>
    <xf numFmtId="0" fontId="0" fillId="0" borderId="11" xfId="26" applyFont="1" applyFill="1" applyBorder="1" applyAlignment="1">
      <alignment horizontal="center" vertical="center" wrapText="1"/>
      <protection/>
    </xf>
    <xf numFmtId="0" fontId="0" fillId="0" borderId="11" xfId="26" applyFill="1" applyBorder="1" applyAlignment="1">
      <alignment horizontal="center" vertical="center" wrapText="1"/>
      <protection/>
    </xf>
    <xf numFmtId="0" fontId="0" fillId="0" borderId="12" xfId="26" applyFill="1" applyBorder="1" applyAlignment="1">
      <alignment horizontal="center" vertical="center" wrapText="1"/>
      <protection/>
    </xf>
    <xf numFmtId="0" fontId="0" fillId="0" borderId="13" xfId="26" applyFill="1" applyBorder="1" applyAlignment="1">
      <alignment horizontal="center" vertical="center" wrapText="1"/>
      <protection/>
    </xf>
    <xf numFmtId="0" fontId="3" fillId="0" borderId="12" xfId="26" applyFont="1" applyFill="1" applyBorder="1" applyAlignment="1">
      <alignment horizontal="center" vertical="center" wrapText="1"/>
      <protection/>
    </xf>
    <xf numFmtId="0" fontId="3" fillId="0" borderId="11" xfId="26" applyFont="1" applyFill="1" applyBorder="1" applyAlignment="1">
      <alignment horizontal="center" vertical="center" wrapText="1"/>
      <protection/>
    </xf>
    <xf numFmtId="0" fontId="0" fillId="0" borderId="14" xfId="26" applyFill="1" applyBorder="1" applyAlignment="1">
      <alignment horizontal="center" vertical="center" wrapText="1"/>
      <protection/>
    </xf>
    <xf numFmtId="0" fontId="0" fillId="0" borderId="11" xfId="92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0" fillId="0" borderId="11" xfId="92" applyFont="1" applyFill="1" applyBorder="1" applyAlignment="1">
      <alignment horizontal="center" vertical="center" wrapText="1" shrinkToFit="1"/>
      <protection/>
    </xf>
    <xf numFmtId="0" fontId="0" fillId="0" borderId="16" xfId="26" applyFont="1" applyFill="1" applyBorder="1" applyAlignment="1">
      <alignment horizontal="center" vertical="center" wrapText="1"/>
      <protection/>
    </xf>
    <xf numFmtId="0" fontId="0" fillId="0" borderId="22" xfId="26" applyFill="1" applyBorder="1" applyAlignment="1">
      <alignment horizontal="center" vertical="center" wrapText="1"/>
      <protection/>
    </xf>
    <xf numFmtId="177" fontId="0" fillId="0" borderId="10" xfId="26" applyNumberFormat="1" applyFill="1" applyBorder="1" applyAlignment="1">
      <alignment horizontal="center" vertical="center" wrapText="1"/>
      <protection/>
    </xf>
    <xf numFmtId="0" fontId="0" fillId="0" borderId="16" xfId="26" applyFill="1" applyBorder="1" applyAlignment="1">
      <alignment horizontal="center" vertical="center" wrapText="1"/>
      <protection/>
    </xf>
    <xf numFmtId="0" fontId="0" fillId="0" borderId="17" xfId="26" applyFont="1" applyFill="1" applyBorder="1" applyAlignment="1">
      <alignment horizontal="left" vertical="center" wrapText="1"/>
      <protection/>
    </xf>
    <xf numFmtId="0" fontId="0" fillId="0" borderId="17" xfId="26" applyFill="1" applyBorder="1" applyAlignment="1">
      <alignment horizontal="left" vertical="center" wrapText="1"/>
      <protection/>
    </xf>
    <xf numFmtId="0" fontId="0" fillId="0" borderId="18" xfId="26" applyFill="1" applyBorder="1" applyAlignment="1">
      <alignment horizontal="center" vertical="center" wrapText="1"/>
      <protection/>
    </xf>
    <xf numFmtId="0" fontId="0" fillId="0" borderId="19" xfId="26" applyFill="1" applyBorder="1" applyAlignment="1">
      <alignment horizontal="left" vertical="center" wrapText="1"/>
      <protection/>
    </xf>
    <xf numFmtId="0" fontId="0" fillId="0" borderId="17" xfId="26" applyFill="1" applyBorder="1" applyAlignment="1">
      <alignment horizontal="center" vertical="center" wrapText="1"/>
      <protection/>
    </xf>
    <xf numFmtId="1" fontId="0" fillId="0" borderId="0" xfId="26" applyNumberFormat="1" applyFill="1" applyAlignment="1">
      <alignment horizontal="center" vertical="center" wrapText="1"/>
      <protection/>
    </xf>
    <xf numFmtId="0" fontId="0" fillId="0" borderId="20" xfId="26" applyFill="1" applyBorder="1" applyAlignment="1">
      <alignment horizontal="center" vertical="center" wrapText="1"/>
      <protection/>
    </xf>
    <xf numFmtId="1" fontId="0" fillId="0" borderId="11" xfId="26" applyNumberFormat="1" applyFill="1" applyBorder="1" applyAlignment="1">
      <alignment horizontal="center" vertical="center" wrapText="1"/>
      <protection/>
    </xf>
    <xf numFmtId="1" fontId="0" fillId="0" borderId="14" xfId="26" applyNumberFormat="1" applyFill="1" applyBorder="1" applyAlignment="1">
      <alignment horizontal="center" vertical="center" wrapText="1"/>
      <protection/>
    </xf>
    <xf numFmtId="1" fontId="0" fillId="0" borderId="10" xfId="26" applyNumberFormat="1" applyFill="1" applyBorder="1" applyAlignment="1">
      <alignment horizontal="center" vertical="center" wrapText="1"/>
      <protection/>
    </xf>
    <xf numFmtId="178" fontId="0" fillId="0" borderId="10" xfId="26" applyNumberFormat="1" applyFill="1" applyBorder="1" applyAlignment="1">
      <alignment horizontal="center" vertical="center" wrapText="1"/>
      <protection/>
    </xf>
    <xf numFmtId="0" fontId="0" fillId="0" borderId="15" xfId="26" applyFill="1" applyBorder="1" applyAlignment="1">
      <alignment horizontal="center" vertical="center" wrapText="1"/>
      <protection/>
    </xf>
    <xf numFmtId="0" fontId="0" fillId="0" borderId="21" xfId="26" applyFill="1" applyBorder="1" applyAlignment="1">
      <alignment horizontal="center" vertical="center" wrapText="1"/>
      <protection/>
    </xf>
    <xf numFmtId="0" fontId="3" fillId="0" borderId="10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3" fillId="0" borderId="13" xfId="26" applyFont="1" applyFill="1" applyBorder="1" applyAlignment="1">
      <alignment horizontal="center" vertical="center" wrapText="1"/>
      <protection/>
    </xf>
    <xf numFmtId="0" fontId="3" fillId="0" borderId="14" xfId="26" applyFont="1" applyFill="1" applyBorder="1" applyAlignment="1">
      <alignment horizontal="center" vertical="center" wrapText="1"/>
      <protection/>
    </xf>
    <xf numFmtId="0" fontId="0" fillId="0" borderId="14" xfId="26" applyFill="1" applyBorder="1" applyAlignment="1">
      <alignment horizontal="center" vertical="center"/>
      <protection/>
    </xf>
    <xf numFmtId="179" fontId="0" fillId="0" borderId="14" xfId="26" applyNumberFormat="1" applyFill="1" applyBorder="1" applyAlignment="1">
      <alignment horizontal="center" vertical="center" wrapText="1"/>
      <protection/>
    </xf>
    <xf numFmtId="10" fontId="0" fillId="0" borderId="14" xfId="26" applyNumberFormat="1" applyFill="1" applyBorder="1" applyAlignment="1">
      <alignment horizontal="center" vertical="center" wrapText="1"/>
      <protection/>
    </xf>
    <xf numFmtId="9" fontId="0" fillId="0" borderId="14" xfId="26" applyNumberFormat="1" applyFill="1" applyBorder="1" applyAlignment="1">
      <alignment horizontal="center" vertical="center" wrapText="1"/>
      <protection/>
    </xf>
    <xf numFmtId="0" fontId="0" fillId="0" borderId="11" xfId="26" applyFill="1" applyBorder="1" applyAlignment="1">
      <alignment horizontal="center" vertical="center"/>
      <protection/>
    </xf>
    <xf numFmtId="179" fontId="0" fillId="0" borderId="11" xfId="26" applyNumberFormat="1" applyFill="1" applyBorder="1" applyAlignment="1">
      <alignment horizontal="center" vertical="center" wrapText="1"/>
      <protection/>
    </xf>
    <xf numFmtId="10" fontId="0" fillId="0" borderId="11" xfId="26" applyNumberFormat="1" applyFill="1" applyBorder="1" applyAlignment="1">
      <alignment horizontal="center" vertical="center" wrapText="1"/>
      <protection/>
    </xf>
    <xf numFmtId="179" fontId="0" fillId="7" borderId="11" xfId="26" applyNumberFormat="1" applyFill="1" applyBorder="1" applyAlignment="1">
      <alignment horizontal="center" vertical="center" wrapText="1"/>
      <protection/>
    </xf>
    <xf numFmtId="0" fontId="0" fillId="0" borderId="14" xfId="26" applyFill="1" applyBorder="1">
      <alignment/>
      <protection/>
    </xf>
    <xf numFmtId="0" fontId="0" fillId="0" borderId="11" xfId="26" applyFill="1" applyBorder="1">
      <alignment/>
      <protection/>
    </xf>
    <xf numFmtId="179" fontId="0" fillId="0" borderId="10" xfId="26" applyNumberFormat="1" applyFill="1" applyBorder="1" applyAlignment="1">
      <alignment horizontal="center" vertical="center" wrapText="1"/>
      <protection/>
    </xf>
    <xf numFmtId="10" fontId="0" fillId="0" borderId="10" xfId="26" applyNumberFormat="1" applyFill="1" applyBorder="1" applyAlignment="1">
      <alignment horizontal="center" vertical="center" wrapText="1"/>
      <protection/>
    </xf>
    <xf numFmtId="0" fontId="0" fillId="0" borderId="22" xfId="26" applyFill="1" applyBorder="1" applyAlignment="1">
      <alignment horizontal="left" vertical="center" wrapText="1"/>
      <protection/>
    </xf>
    <xf numFmtId="0" fontId="0" fillId="0" borderId="23" xfId="26" applyFill="1" applyBorder="1" applyAlignment="1">
      <alignment horizontal="left" vertical="center" wrapText="1"/>
      <protection/>
    </xf>
    <xf numFmtId="0" fontId="0" fillId="0" borderId="0" xfId="91" applyFill="1" applyBorder="1">
      <alignment/>
      <protection/>
    </xf>
    <xf numFmtId="0" fontId="0" fillId="0" borderId="0" xfId="91" applyFill="1" applyAlignment="1">
      <alignment horizontal="center" vertical="center"/>
      <protection/>
    </xf>
    <xf numFmtId="0" fontId="0" fillId="0" borderId="0" xfId="91" applyFont="1" applyFill="1" applyAlignment="1">
      <alignment horizontal="center" vertical="center"/>
      <protection/>
    </xf>
    <xf numFmtId="0" fontId="0" fillId="0" borderId="0" xfId="91" applyFill="1">
      <alignment/>
      <protection/>
    </xf>
    <xf numFmtId="0" fontId="0" fillId="0" borderId="0" xfId="91" applyFont="1" applyFill="1">
      <alignment/>
      <protection/>
    </xf>
    <xf numFmtId="0" fontId="2" fillId="0" borderId="0" xfId="91" applyFont="1" applyFill="1" applyAlignment="1">
      <alignment horizontal="center"/>
      <protection/>
    </xf>
    <xf numFmtId="0" fontId="0" fillId="0" borderId="0" xfId="91" applyFill="1" applyAlignment="1">
      <alignment horizontal="center"/>
      <protection/>
    </xf>
    <xf numFmtId="0" fontId="0" fillId="0" borderId="10" xfId="91" applyFill="1" applyBorder="1" applyAlignment="1">
      <alignment horizontal="center"/>
      <protection/>
    </xf>
    <xf numFmtId="0" fontId="0" fillId="0" borderId="11" xfId="91" applyFill="1" applyBorder="1" applyAlignment="1">
      <alignment horizontal="center" vertical="center"/>
      <protection/>
    </xf>
    <xf numFmtId="0" fontId="0" fillId="0" borderId="12" xfId="91" applyFill="1" applyBorder="1" applyAlignment="1">
      <alignment horizontal="center"/>
      <protection/>
    </xf>
    <xf numFmtId="0" fontId="0" fillId="0" borderId="11" xfId="91" applyFill="1" applyBorder="1" applyAlignment="1">
      <alignment horizontal="center"/>
      <protection/>
    </xf>
    <xf numFmtId="0" fontId="0" fillId="0" borderId="13" xfId="91" applyFill="1" applyBorder="1" applyAlignment="1">
      <alignment horizontal="center"/>
      <protection/>
    </xf>
    <xf numFmtId="0" fontId="3" fillId="0" borderId="12" xfId="91" applyFont="1" applyFill="1" applyBorder="1" applyAlignment="1">
      <alignment horizontal="center"/>
      <protection/>
    </xf>
    <xf numFmtId="0" fontId="3" fillId="0" borderId="11" xfId="91" applyFont="1" applyFill="1" applyBorder="1" applyAlignment="1">
      <alignment horizontal="center"/>
      <protection/>
    </xf>
    <xf numFmtId="0" fontId="0" fillId="0" borderId="14" xfId="91" applyFill="1" applyBorder="1" applyAlignment="1">
      <alignment horizontal="center"/>
      <protection/>
    </xf>
    <xf numFmtId="0" fontId="0" fillId="0" borderId="14" xfId="91" applyFill="1" applyBorder="1" applyAlignment="1">
      <alignment horizontal="center" vertical="center"/>
      <protection/>
    </xf>
    <xf numFmtId="177" fontId="0" fillId="0" borderId="14" xfId="91" applyNumberFormat="1" applyFill="1" applyBorder="1" applyAlignment="1">
      <alignment horizontal="center" vertical="center"/>
      <protection/>
    </xf>
    <xf numFmtId="177" fontId="0" fillId="0" borderId="11" xfId="91" applyNumberFormat="1" applyFill="1" applyBorder="1" applyAlignment="1">
      <alignment horizontal="center" vertic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177" fontId="0" fillId="0" borderId="11" xfId="91" applyNumberFormat="1" applyFont="1" applyFill="1" applyBorder="1" applyAlignment="1">
      <alignment horizontal="center" vertical="center"/>
      <protection/>
    </xf>
    <xf numFmtId="177" fontId="0" fillId="0" borderId="14" xfId="91" applyNumberFormat="1" applyFont="1" applyFill="1" applyBorder="1" applyAlignment="1">
      <alignment horizontal="center" vertical="center"/>
      <protection/>
    </xf>
    <xf numFmtId="0" fontId="6" fillId="0" borderId="14" xfId="91" applyFont="1" applyFill="1" applyBorder="1" applyAlignment="1">
      <alignment horizontal="center" vertical="center" wrapText="1"/>
      <protection/>
    </xf>
    <xf numFmtId="0" fontId="6" fillId="0" borderId="11" xfId="91" applyFont="1" applyFill="1" applyBorder="1" applyAlignment="1">
      <alignment horizontal="center" vertical="center"/>
      <protection/>
    </xf>
    <xf numFmtId="0" fontId="6" fillId="0" borderId="11" xfId="26" applyFont="1" applyFill="1" applyBorder="1" applyAlignment="1">
      <alignment horizontal="center" vertical="center"/>
      <protection/>
    </xf>
    <xf numFmtId="0" fontId="0" fillId="0" borderId="15" xfId="91" applyFill="1" applyBorder="1" applyAlignment="1">
      <alignment horizontal="center" vertical="center"/>
      <protection/>
    </xf>
    <xf numFmtId="0" fontId="0" fillId="0" borderId="12" xfId="91" applyFill="1" applyBorder="1" applyAlignment="1">
      <alignment horizontal="center" vertical="center"/>
      <protection/>
    </xf>
    <xf numFmtId="0" fontId="0" fillId="0" borderId="10" xfId="91" applyFill="1" applyBorder="1" applyAlignment="1">
      <alignment horizontal="center" vertical="center"/>
      <protection/>
    </xf>
    <xf numFmtId="177" fontId="0" fillId="0" borderId="10" xfId="91" applyNumberFormat="1" applyFill="1" applyBorder="1" applyAlignment="1">
      <alignment horizontal="center" vertical="center"/>
      <protection/>
    </xf>
    <xf numFmtId="0" fontId="0" fillId="0" borderId="0" xfId="91" applyFill="1" applyBorder="1" applyAlignment="1">
      <alignment horizontal="left"/>
      <protection/>
    </xf>
    <xf numFmtId="0" fontId="0" fillId="0" borderId="17" xfId="91" applyFill="1" applyBorder="1">
      <alignment/>
      <protection/>
    </xf>
    <xf numFmtId="0" fontId="0" fillId="0" borderId="18" xfId="91" applyFill="1" applyBorder="1" applyAlignment="1">
      <alignment horizontal="center"/>
      <protection/>
    </xf>
    <xf numFmtId="0" fontId="0" fillId="0" borderId="19" xfId="91" applyFill="1" applyBorder="1" applyAlignment="1">
      <alignment horizontal="center"/>
      <protection/>
    </xf>
    <xf numFmtId="0" fontId="0" fillId="0" borderId="19" xfId="91" applyFill="1" applyBorder="1">
      <alignment/>
      <protection/>
    </xf>
    <xf numFmtId="0" fontId="3" fillId="0" borderId="0" xfId="91" applyFont="1" applyFill="1">
      <alignment/>
      <protection/>
    </xf>
    <xf numFmtId="177" fontId="0" fillId="0" borderId="0" xfId="91" applyNumberFormat="1" applyFill="1">
      <alignment/>
      <protection/>
    </xf>
    <xf numFmtId="0" fontId="0" fillId="0" borderId="11" xfId="91" applyFont="1" applyFill="1" applyBorder="1" applyAlignment="1">
      <alignment horizontal="center"/>
      <protection/>
    </xf>
    <xf numFmtId="0" fontId="0" fillId="0" borderId="20" xfId="91" applyFill="1" applyBorder="1" applyAlignment="1">
      <alignment horizontal="center"/>
      <protection/>
    </xf>
    <xf numFmtId="0" fontId="0" fillId="0" borderId="10" xfId="91" applyFont="1" applyFill="1" applyBorder="1" applyAlignment="1">
      <alignment horizontal="center" vertical="center"/>
      <protection/>
    </xf>
    <xf numFmtId="0" fontId="0" fillId="0" borderId="17" xfId="91" applyFont="1" applyFill="1" applyBorder="1">
      <alignment/>
      <protection/>
    </xf>
    <xf numFmtId="0" fontId="0" fillId="0" borderId="19" xfId="91" applyFont="1" applyFill="1" applyBorder="1">
      <alignment/>
      <protection/>
    </xf>
    <xf numFmtId="180" fontId="0" fillId="0" borderId="0" xfId="91" applyNumberFormat="1" applyFont="1" applyFill="1">
      <alignment/>
      <protection/>
    </xf>
    <xf numFmtId="178" fontId="0" fillId="0" borderId="0" xfId="91" applyNumberFormat="1" applyFont="1" applyFill="1">
      <alignment/>
      <protection/>
    </xf>
    <xf numFmtId="178" fontId="0" fillId="0" borderId="0" xfId="91" applyNumberFormat="1" applyFill="1">
      <alignment/>
      <protection/>
    </xf>
    <xf numFmtId="0" fontId="0" fillId="0" borderId="15" xfId="91" applyFill="1" applyBorder="1" applyAlignment="1">
      <alignment horizontal="center"/>
      <protection/>
    </xf>
    <xf numFmtId="0" fontId="0" fillId="0" borderId="21" xfId="91" applyFill="1" applyBorder="1" applyAlignment="1">
      <alignment horizontal="center"/>
      <protection/>
    </xf>
    <xf numFmtId="0" fontId="3" fillId="0" borderId="14" xfId="91" applyFont="1" applyFill="1" applyBorder="1" applyAlignment="1">
      <alignment horizontal="center"/>
      <protection/>
    </xf>
    <xf numFmtId="0" fontId="3" fillId="0" borderId="10" xfId="91" applyFont="1" applyFill="1" applyBorder="1" applyAlignment="1">
      <alignment horizontal="center"/>
      <protection/>
    </xf>
    <xf numFmtId="181" fontId="0" fillId="0" borderId="14" xfId="91" applyNumberFormat="1" applyFont="1" applyFill="1" applyBorder="1" applyAlignment="1">
      <alignment horizontal="center" vertical="center"/>
      <protection/>
    </xf>
    <xf numFmtId="176" fontId="0" fillId="0" borderId="14" xfId="91" applyNumberFormat="1" applyFont="1" applyFill="1" applyBorder="1" applyAlignment="1">
      <alignment horizontal="center" vertical="center"/>
      <protection/>
    </xf>
    <xf numFmtId="181" fontId="0" fillId="0" borderId="11" xfId="91" applyNumberFormat="1" applyFont="1" applyFill="1" applyBorder="1" applyAlignment="1">
      <alignment horizontal="center" vertical="center"/>
      <protection/>
    </xf>
    <xf numFmtId="176" fontId="0" fillId="0" borderId="11" xfId="91" applyNumberFormat="1" applyFont="1" applyFill="1" applyBorder="1" applyAlignment="1">
      <alignment horizontal="center" vertical="center"/>
      <protection/>
    </xf>
    <xf numFmtId="181" fontId="0" fillId="0" borderId="11" xfId="91" applyNumberFormat="1" applyFill="1" applyBorder="1" applyAlignment="1">
      <alignment horizontal="center" vertical="center"/>
      <protection/>
    </xf>
    <xf numFmtId="176" fontId="0" fillId="0" borderId="11" xfId="91" applyNumberFormat="1" applyFill="1" applyBorder="1" applyAlignment="1">
      <alignment horizontal="center" vertical="center"/>
      <protection/>
    </xf>
    <xf numFmtId="181" fontId="0" fillId="0" borderId="14" xfId="91" applyNumberFormat="1" applyFill="1" applyBorder="1" applyAlignment="1">
      <alignment horizontal="center" vertical="center"/>
      <protection/>
    </xf>
    <xf numFmtId="176" fontId="0" fillId="0" borderId="14" xfId="91" applyNumberFormat="1" applyFill="1" applyBorder="1" applyAlignment="1">
      <alignment horizontal="center" vertical="center"/>
      <protection/>
    </xf>
    <xf numFmtId="0" fontId="6" fillId="0" borderId="11" xfId="30" applyFont="1" applyFill="1" applyBorder="1" applyAlignment="1">
      <alignment horizontal="center" vertical="center"/>
      <protection/>
    </xf>
    <xf numFmtId="181" fontId="6" fillId="0" borderId="11" xfId="30" applyNumberFormat="1" applyFont="1" applyFill="1" applyBorder="1" applyAlignment="1">
      <alignment horizontal="center" vertical="center"/>
      <protection/>
    </xf>
    <xf numFmtId="176" fontId="6" fillId="0" borderId="11" xfId="30" applyNumberFormat="1" applyFont="1" applyFill="1" applyBorder="1" applyAlignment="1">
      <alignment horizontal="center" vertical="center"/>
      <protection/>
    </xf>
    <xf numFmtId="0" fontId="0" fillId="0" borderId="0" xfId="91" applyFill="1" applyBorder="1" applyAlignment="1">
      <alignment horizontal="center" vertical="center"/>
      <protection/>
    </xf>
    <xf numFmtId="181" fontId="0" fillId="0" borderId="10" xfId="91" applyNumberFormat="1" applyFill="1" applyBorder="1" applyAlignment="1">
      <alignment horizontal="center" vertical="center"/>
      <protection/>
    </xf>
    <xf numFmtId="0" fontId="0" fillId="0" borderId="23" xfId="91" applyFill="1" applyBorder="1">
      <alignment/>
      <protection/>
    </xf>
    <xf numFmtId="0" fontId="0" fillId="0" borderId="14" xfId="26" applyFont="1" applyFill="1" applyBorder="1">
      <alignment/>
      <protection/>
    </xf>
    <xf numFmtId="176" fontId="0" fillId="0" borderId="14" xfId="26" applyNumberFormat="1" applyFont="1" applyFill="1" applyBorder="1">
      <alignment/>
      <protection/>
    </xf>
    <xf numFmtId="0" fontId="0" fillId="0" borderId="11" xfId="26" applyFont="1" applyFill="1" applyBorder="1">
      <alignment/>
      <protection/>
    </xf>
    <xf numFmtId="0" fontId="0" fillId="0" borderId="11" xfId="91" applyFont="1" applyFill="1" applyBorder="1" applyAlignment="1">
      <alignment horizontal="left"/>
      <protection/>
    </xf>
    <xf numFmtId="176" fontId="0" fillId="0" borderId="11" xfId="26" applyNumberFormat="1" applyFont="1" applyFill="1" applyBorder="1">
      <alignment/>
      <protection/>
    </xf>
    <xf numFmtId="0" fontId="0" fillId="0" borderId="11" xfId="91" applyFont="1" applyFill="1" applyBorder="1">
      <alignment/>
      <protection/>
    </xf>
    <xf numFmtId="0" fontId="0" fillId="0" borderId="22" xfId="26" applyFont="1" applyFill="1" applyBorder="1">
      <alignment/>
      <protection/>
    </xf>
    <xf numFmtId="0" fontId="0" fillId="0" borderId="10" xfId="26" applyFont="1" applyFill="1" applyBorder="1">
      <alignment/>
      <protection/>
    </xf>
    <xf numFmtId="0" fontId="0" fillId="0" borderId="11" xfId="26" applyFont="1" applyFill="1" applyBorder="1" applyAlignment="1">
      <alignment horizontal="center"/>
      <protection/>
    </xf>
    <xf numFmtId="0" fontId="0" fillId="0" borderId="11" xfId="26" applyFill="1" applyBorder="1" applyAlignment="1">
      <alignment horizontal="center"/>
      <protection/>
    </xf>
    <xf numFmtId="2" fontId="0" fillId="0" borderId="11" xfId="26" applyNumberFormat="1" applyFont="1" applyFill="1" applyBorder="1">
      <alignment/>
      <protection/>
    </xf>
    <xf numFmtId="0" fontId="0" fillId="0" borderId="16" xfId="26" applyFill="1" applyBorder="1" applyAlignment="1">
      <alignment horizontal="left" vertical="center"/>
      <protection/>
    </xf>
    <xf numFmtId="0" fontId="0" fillId="0" borderId="17" xfId="26" applyFill="1" applyBorder="1" applyAlignment="1">
      <alignment horizontal="left" vertical="center"/>
      <protection/>
    </xf>
    <xf numFmtId="0" fontId="0" fillId="0" borderId="18" xfId="26" applyFill="1" applyBorder="1" applyAlignment="1">
      <alignment horizontal="left" vertical="center"/>
      <protection/>
    </xf>
    <xf numFmtId="0" fontId="0" fillId="0" borderId="19" xfId="26" applyFill="1" applyBorder="1" applyAlignment="1">
      <alignment horizontal="left" vertical="center"/>
      <protection/>
    </xf>
    <xf numFmtId="0" fontId="0" fillId="0" borderId="0" xfId="26" applyFill="1" applyBorder="1" applyAlignment="1">
      <alignment horizontal="center"/>
      <protection/>
    </xf>
    <xf numFmtId="0" fontId="0" fillId="0" borderId="0" xfId="26" applyFill="1">
      <alignment/>
      <protection/>
    </xf>
    <xf numFmtId="180" fontId="0" fillId="0" borderId="14" xfId="26" applyNumberFormat="1" applyFont="1" applyFill="1" applyBorder="1">
      <alignment/>
      <protection/>
    </xf>
    <xf numFmtId="180" fontId="0" fillId="0" borderId="11" xfId="26" applyNumberFormat="1" applyFont="1" applyFill="1" applyBorder="1">
      <alignment/>
      <protection/>
    </xf>
    <xf numFmtId="180" fontId="0" fillId="0" borderId="11" xfId="91" applyNumberFormat="1" applyFont="1" applyFill="1" applyBorder="1">
      <alignment/>
      <protection/>
    </xf>
    <xf numFmtId="180" fontId="0" fillId="0" borderId="22" xfId="26" applyNumberFormat="1" applyFont="1" applyFill="1" applyBorder="1">
      <alignment/>
      <protection/>
    </xf>
    <xf numFmtId="180" fontId="0" fillId="0" borderId="10" xfId="26" applyNumberFormat="1" applyFont="1" applyFill="1" applyBorder="1">
      <alignment/>
      <protection/>
    </xf>
    <xf numFmtId="0" fontId="0" fillId="0" borderId="17" xfId="26" applyFill="1" applyBorder="1">
      <alignment/>
      <protection/>
    </xf>
    <xf numFmtId="0" fontId="0" fillId="0" borderId="19" xfId="26" applyFill="1" applyBorder="1">
      <alignment/>
      <protection/>
    </xf>
    <xf numFmtId="0" fontId="0" fillId="0" borderId="17" xfId="26" applyFill="1" applyBorder="1" applyAlignment="1">
      <alignment horizontal="center"/>
      <protection/>
    </xf>
    <xf numFmtId="0" fontId="0" fillId="0" borderId="0" xfId="91">
      <alignment/>
      <protection/>
    </xf>
    <xf numFmtId="180" fontId="0" fillId="0" borderId="0" xfId="91" applyNumberFormat="1" applyFill="1">
      <alignment/>
      <protection/>
    </xf>
    <xf numFmtId="2" fontId="0" fillId="0" borderId="10" xfId="26" applyNumberFormat="1" applyFont="1" applyFill="1" applyBorder="1">
      <alignment/>
      <protection/>
    </xf>
    <xf numFmtId="0" fontId="0" fillId="0" borderId="10" xfId="26" applyFill="1" applyBorder="1">
      <alignment/>
      <protection/>
    </xf>
    <xf numFmtId="0" fontId="0" fillId="0" borderId="0" xfId="26" applyFont="1" applyFill="1">
      <alignment/>
      <protection/>
    </xf>
    <xf numFmtId="10" fontId="0" fillId="0" borderId="14" xfId="26" applyNumberFormat="1" applyFill="1" applyBorder="1">
      <alignment/>
      <protection/>
    </xf>
    <xf numFmtId="10" fontId="0" fillId="0" borderId="11" xfId="26" applyNumberFormat="1" applyFill="1" applyBorder="1">
      <alignment/>
      <protection/>
    </xf>
    <xf numFmtId="10" fontId="0" fillId="0" borderId="14" xfId="26" applyNumberFormat="1" applyFont="1" applyFill="1" applyBorder="1">
      <alignment/>
      <protection/>
    </xf>
    <xf numFmtId="0" fontId="0" fillId="0" borderId="22" xfId="26" applyFill="1" applyBorder="1">
      <alignment/>
      <protection/>
    </xf>
    <xf numFmtId="0" fontId="0" fillId="0" borderId="23" xfId="26" applyFill="1" applyBorder="1">
      <alignment/>
      <protection/>
    </xf>
    <xf numFmtId="0" fontId="0" fillId="0" borderId="17" xfId="26" applyFont="1" applyFill="1" applyBorder="1" applyAlignment="1">
      <alignment horizontal="left"/>
      <protection/>
    </xf>
    <xf numFmtId="0" fontId="0" fillId="0" borderId="17" xfId="26" applyFill="1" applyBorder="1" applyAlignment="1">
      <alignment horizontal="left"/>
      <protection/>
    </xf>
    <xf numFmtId="0" fontId="0" fillId="7" borderId="0" xfId="30" applyFont="1" applyFill="1">
      <alignment vertical="center"/>
      <protection/>
    </xf>
    <xf numFmtId="0" fontId="0" fillId="0" borderId="0" xfId="30" applyFont="1" applyFill="1">
      <alignment vertical="center"/>
      <protection/>
    </xf>
    <xf numFmtId="0" fontId="0" fillId="0" borderId="0" xfId="30" applyFont="1" applyFill="1" applyAlignment="1">
      <alignment horizontal="left" vertical="center"/>
      <protection/>
    </xf>
    <xf numFmtId="0" fontId="0" fillId="0" borderId="0" xfId="30" applyFont="1" applyFill="1" applyAlignment="1">
      <alignment horizontal="center" vertical="center"/>
      <protection/>
    </xf>
    <xf numFmtId="0" fontId="2" fillId="0" borderId="0" xfId="26" applyFont="1" applyFill="1" applyAlignment="1">
      <alignment horizontal="center" vertical="center"/>
      <protection/>
    </xf>
    <xf numFmtId="0" fontId="0" fillId="0" borderId="0" xfId="26" applyFont="1" applyFill="1" applyAlignment="1">
      <alignment horizontal="center"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0" xfId="26" applyFont="1" applyFill="1" applyAlignment="1">
      <alignment horizontal="left" vertical="center"/>
      <protection/>
    </xf>
    <xf numFmtId="0" fontId="0" fillId="0" borderId="19" xfId="26" applyFont="1" applyFill="1" applyBorder="1" applyAlignment="1">
      <alignment horizontal="left" vertical="center"/>
      <protection/>
    </xf>
    <xf numFmtId="0" fontId="0" fillId="0" borderId="10" xfId="26" applyFont="1" applyFill="1" applyBorder="1" applyAlignment="1">
      <alignment horizont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0" borderId="11" xfId="26" applyFont="1" applyFill="1" applyBorder="1" applyAlignment="1">
      <alignment horizontal="center" vertical="center"/>
      <protection/>
    </xf>
    <xf numFmtId="0" fontId="0" fillId="0" borderId="12" xfId="26" applyFont="1" applyFill="1" applyBorder="1" applyAlignment="1">
      <alignment horizontal="center"/>
      <protection/>
    </xf>
    <xf numFmtId="0" fontId="0" fillId="0" borderId="13" xfId="26" applyFont="1" applyFill="1" applyBorder="1" applyAlignment="1">
      <alignment horizontal="center"/>
      <protection/>
    </xf>
    <xf numFmtId="0" fontId="0" fillId="0" borderId="13" xfId="26" applyFont="1" applyFill="1" applyBorder="1" applyAlignment="1">
      <alignment horizontal="center" vertical="center"/>
      <protection/>
    </xf>
    <xf numFmtId="0" fontId="3" fillId="0" borderId="12" xfId="26" applyFont="1" applyFill="1" applyBorder="1" applyAlignment="1">
      <alignment horizontal="center"/>
      <protection/>
    </xf>
    <xf numFmtId="0" fontId="3" fillId="0" borderId="11" xfId="26" applyFont="1" applyFill="1" applyBorder="1" applyAlignment="1">
      <alignment horizontal="center"/>
      <protection/>
    </xf>
    <xf numFmtId="0" fontId="0" fillId="0" borderId="14" xfId="26" applyFont="1" applyFill="1" applyBorder="1" applyAlignment="1">
      <alignment horizontal="center"/>
      <protection/>
    </xf>
    <xf numFmtId="0" fontId="0" fillId="0" borderId="14" xfId="26" applyFont="1" applyFill="1" applyBorder="1" applyAlignment="1">
      <alignment horizontal="center" vertical="center"/>
      <protection/>
    </xf>
    <xf numFmtId="0" fontId="0" fillId="0" borderId="11" xfId="30" applyFont="1" applyFill="1" applyBorder="1" applyAlignment="1">
      <alignment horizontal="left" vertical="center"/>
      <protection/>
    </xf>
    <xf numFmtId="0" fontId="0" fillId="0" borderId="11" xfId="26" applyFont="1" applyFill="1" applyBorder="1" applyAlignment="1">
      <alignment horizontal="left" vertical="center"/>
      <protection/>
    </xf>
    <xf numFmtId="0" fontId="0" fillId="0" borderId="11" xfId="30" applyFont="1" applyFill="1" applyBorder="1">
      <alignment vertical="center"/>
      <protection/>
    </xf>
    <xf numFmtId="0" fontId="0" fillId="0" borderId="11" xfId="30" applyFont="1" applyFill="1" applyBorder="1" applyAlignment="1">
      <alignment horizontal="center" vertical="center"/>
      <protection/>
    </xf>
    <xf numFmtId="0" fontId="7" fillId="0" borderId="11" xfId="91" applyFont="1" applyFill="1" applyBorder="1" applyAlignment="1">
      <alignment horizontal="center" vertical="center" wrapText="1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0" fillId="7" borderId="14" xfId="26" applyFont="1" applyFill="1" applyBorder="1" applyAlignment="1">
      <alignment horizontal="center"/>
      <protection/>
    </xf>
    <xf numFmtId="0" fontId="0" fillId="7" borderId="11" xfId="26" applyFont="1" applyFill="1" applyBorder="1" applyAlignment="1">
      <alignment horizontal="left" vertical="center"/>
      <protection/>
    </xf>
    <xf numFmtId="0" fontId="0" fillId="7" borderId="11" xfId="26" applyFont="1" applyFill="1" applyBorder="1">
      <alignment/>
      <protection/>
    </xf>
    <xf numFmtId="0" fontId="7" fillId="7" borderId="11" xfId="91" applyFont="1" applyFill="1" applyBorder="1" applyAlignment="1">
      <alignment horizontal="center" vertical="center"/>
      <protection/>
    </xf>
    <xf numFmtId="0" fontId="0" fillId="7" borderId="11" xfId="26" applyFont="1" applyFill="1" applyBorder="1" applyAlignment="1">
      <alignment horizontal="center"/>
      <protection/>
    </xf>
    <xf numFmtId="0" fontId="0" fillId="7" borderId="11" xfId="91" applyFont="1" applyFill="1" applyBorder="1" applyAlignment="1">
      <alignment horizontal="center" vertical="center"/>
      <protection/>
    </xf>
    <xf numFmtId="0" fontId="0" fillId="7" borderId="11" xfId="26" applyFont="1" applyFill="1" applyBorder="1" applyAlignment="1">
      <alignment horizontal="center" vertical="center"/>
      <protection/>
    </xf>
    <xf numFmtId="0" fontId="0" fillId="7" borderId="10" xfId="26" applyFont="1" applyFill="1" applyBorder="1" applyAlignment="1">
      <alignment horizontal="center" vertical="center"/>
      <protection/>
    </xf>
    <xf numFmtId="0" fontId="0" fillId="0" borderId="15" xfId="26" applyFont="1" applyFill="1" applyBorder="1">
      <alignment/>
      <protection/>
    </xf>
    <xf numFmtId="0" fontId="0" fillId="0" borderId="21" xfId="26" applyFont="1" applyFill="1" applyBorder="1" applyAlignment="1">
      <alignment horizontal="left"/>
      <protection/>
    </xf>
    <xf numFmtId="0" fontId="0" fillId="0" borderId="21" xfId="26" applyFont="1" applyFill="1" applyBorder="1">
      <alignment/>
      <protection/>
    </xf>
    <xf numFmtId="0" fontId="0" fillId="0" borderId="17" xfId="26" applyFont="1" applyFill="1" applyBorder="1" applyAlignment="1">
      <alignment horizontal="left" vertical="center"/>
      <protection/>
    </xf>
    <xf numFmtId="0" fontId="0" fillId="0" borderId="17" xfId="26" applyFont="1" applyFill="1" applyBorder="1" applyAlignment="1">
      <alignment horizontal="center" vertical="center"/>
      <protection/>
    </xf>
    <xf numFmtId="0" fontId="0" fillId="0" borderId="20" xfId="26" applyFont="1" applyFill="1" applyBorder="1" applyAlignment="1">
      <alignment horizontal="center"/>
      <protection/>
    </xf>
    <xf numFmtId="0" fontId="0" fillId="0" borderId="18" xfId="26" applyFont="1" applyFill="1" applyBorder="1" applyAlignment="1">
      <alignment horizontal="center"/>
      <protection/>
    </xf>
    <xf numFmtId="0" fontId="0" fillId="0" borderId="19" xfId="26" applyFont="1" applyFill="1" applyBorder="1" applyAlignment="1">
      <alignment horizontal="center" vertical="center"/>
      <protection/>
    </xf>
    <xf numFmtId="0" fontId="0" fillId="0" borderId="15" xfId="26" applyFont="1" applyFill="1" applyBorder="1" applyAlignment="1">
      <alignment horizontal="center"/>
      <protection/>
    </xf>
    <xf numFmtId="0" fontId="0" fillId="0" borderId="21" xfId="26" applyFont="1" applyFill="1" applyBorder="1" applyAlignment="1">
      <alignment horizontal="center"/>
      <protection/>
    </xf>
    <xf numFmtId="0" fontId="3" fillId="0" borderId="14" xfId="26" applyFont="1" applyFill="1" applyBorder="1" applyAlignment="1">
      <alignment horizontal="center"/>
      <protection/>
    </xf>
    <xf numFmtId="0" fontId="3" fillId="0" borderId="10" xfId="26" applyFont="1" applyFill="1" applyBorder="1" applyAlignment="1">
      <alignment horizontal="center"/>
      <protection/>
    </xf>
    <xf numFmtId="181" fontId="0" fillId="0" borderId="11" xfId="91" applyNumberFormat="1" applyFont="1" applyFill="1" applyBorder="1" applyAlignment="1">
      <alignment horizontal="center" vertical="center" wrapText="1"/>
      <protection/>
    </xf>
    <xf numFmtId="176" fontId="0" fillId="0" borderId="11" xfId="91" applyNumberFormat="1" applyFont="1" applyFill="1" applyBorder="1" applyAlignment="1">
      <alignment horizontal="center" vertical="center" wrapText="1"/>
      <protection/>
    </xf>
    <xf numFmtId="176" fontId="0" fillId="0" borderId="11" xfId="26" applyNumberFormat="1" applyFont="1" applyFill="1" applyBorder="1" applyAlignment="1">
      <alignment horizontal="center"/>
      <protection/>
    </xf>
    <xf numFmtId="181" fontId="0" fillId="0" borderId="14" xfId="26" applyNumberFormat="1" applyFont="1" applyFill="1" applyBorder="1" applyAlignment="1">
      <alignment horizontal="center"/>
      <protection/>
    </xf>
    <xf numFmtId="176" fontId="0" fillId="0" borderId="14" xfId="26" applyNumberFormat="1" applyFont="1" applyFill="1" applyBorder="1" applyAlignment="1">
      <alignment horizontal="center"/>
      <protection/>
    </xf>
    <xf numFmtId="176" fontId="0" fillId="7" borderId="11" xfId="26" applyNumberFormat="1" applyFont="1" applyFill="1" applyBorder="1" applyAlignment="1">
      <alignment horizontal="center"/>
      <protection/>
    </xf>
    <xf numFmtId="181" fontId="0" fillId="7" borderId="11" xfId="26" applyNumberFormat="1" applyFont="1" applyFill="1" applyBorder="1" applyAlignment="1">
      <alignment horizontal="center"/>
      <protection/>
    </xf>
    <xf numFmtId="176" fontId="0" fillId="7" borderId="11" xfId="91" applyNumberFormat="1" applyFont="1" applyFill="1" applyBorder="1" applyAlignment="1">
      <alignment horizontal="center" vertical="center" wrapText="1"/>
      <protection/>
    </xf>
    <xf numFmtId="0" fontId="0" fillId="0" borderId="12" xfId="26" applyFont="1" applyFill="1" applyBorder="1">
      <alignment/>
      <protection/>
    </xf>
    <xf numFmtId="0" fontId="0" fillId="0" borderId="0" xfId="93">
      <alignment/>
      <protection/>
    </xf>
    <xf numFmtId="0" fontId="2" fillId="0" borderId="0" xfId="93" applyFont="1" applyAlignment="1">
      <alignment horizontal="center"/>
      <protection/>
    </xf>
    <xf numFmtId="0" fontId="0" fillId="0" borderId="0" xfId="93" applyFont="1" applyAlignment="1">
      <alignment horizontal="center"/>
      <protection/>
    </xf>
    <xf numFmtId="0" fontId="0" fillId="0" borderId="0" xfId="93" applyFont="1">
      <alignment/>
      <protection/>
    </xf>
    <xf numFmtId="0" fontId="0" fillId="0" borderId="10" xfId="93" applyFont="1" applyBorder="1" applyAlignment="1">
      <alignment horizontal="center"/>
      <protection/>
    </xf>
    <xf numFmtId="0" fontId="0" fillId="0" borderId="11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horizontal="center"/>
      <protection/>
    </xf>
    <xf numFmtId="0" fontId="0" fillId="0" borderId="11" xfId="93" applyFont="1" applyBorder="1" applyAlignment="1">
      <alignment horizontal="center"/>
      <protection/>
    </xf>
    <xf numFmtId="0" fontId="0" fillId="0" borderId="13" xfId="93" applyFont="1" applyBorder="1" applyAlignment="1">
      <alignment horizontal="center"/>
      <protection/>
    </xf>
    <xf numFmtId="0" fontId="3" fillId="0" borderId="12" xfId="93" applyFont="1" applyBorder="1" applyAlignment="1">
      <alignment horizontal="center"/>
      <protection/>
    </xf>
    <xf numFmtId="0" fontId="3" fillId="0" borderId="11" xfId="93" applyFont="1" applyBorder="1" applyAlignment="1">
      <alignment horizontal="center"/>
      <protection/>
    </xf>
    <xf numFmtId="0" fontId="0" fillId="0" borderId="14" xfId="93" applyFont="1" applyBorder="1" applyAlignment="1">
      <alignment horizontal="center"/>
      <protection/>
    </xf>
    <xf numFmtId="0" fontId="0" fillId="0" borderId="14" xfId="93" applyFont="1" applyBorder="1" applyAlignment="1">
      <alignment horizontal="center" vertical="center" wrapText="1"/>
      <protection/>
    </xf>
    <xf numFmtId="0" fontId="7" fillId="0" borderId="11" xfId="93" applyFont="1" applyBorder="1" applyAlignment="1">
      <alignment horizontal="center" vertical="center" wrapText="1"/>
      <protection/>
    </xf>
    <xf numFmtId="0" fontId="0" fillId="0" borderId="11" xfId="93" applyFont="1" applyBorder="1" applyAlignment="1">
      <alignment horizontal="center" vertical="center" wrapText="1"/>
      <protection/>
    </xf>
    <xf numFmtId="182" fontId="0" fillId="0" borderId="11" xfId="93" applyNumberFormat="1" applyFont="1" applyBorder="1" applyAlignment="1">
      <alignment horizontal="center" vertical="center" wrapText="1"/>
      <protection/>
    </xf>
    <xf numFmtId="176" fontId="0" fillId="0" borderId="11" xfId="93" applyNumberFormat="1" applyFont="1" applyBorder="1" applyAlignment="1">
      <alignment horizontal="center" vertical="center" wrapText="1"/>
      <protection/>
    </xf>
    <xf numFmtId="0" fontId="0" fillId="0" borderId="15" xfId="93" applyFont="1" applyBorder="1" applyAlignment="1">
      <alignment horizontal="center" vertical="center" wrapText="1"/>
      <protection/>
    </xf>
    <xf numFmtId="0" fontId="0" fillId="0" borderId="12" xfId="93" applyFont="1" applyBorder="1" applyAlignment="1">
      <alignment horizontal="center" vertical="center" wrapText="1"/>
      <protection/>
    </xf>
    <xf numFmtId="0" fontId="0" fillId="0" borderId="16" xfId="93" applyFont="1" applyBorder="1" applyAlignment="1">
      <alignment horizontal="center" vertical="center" wrapText="1"/>
      <protection/>
    </xf>
    <xf numFmtId="0" fontId="0" fillId="0" borderId="22" xfId="93" applyFont="1" applyBorder="1" applyAlignment="1">
      <alignment horizontal="center" vertical="center" wrapText="1"/>
      <protection/>
    </xf>
    <xf numFmtId="0" fontId="0" fillId="0" borderId="10" xfId="93" applyFont="1" applyBorder="1" applyAlignment="1">
      <alignment horizontal="center" vertical="center" wrapText="1"/>
      <protection/>
    </xf>
    <xf numFmtId="0" fontId="0" fillId="0" borderId="16" xfId="93" applyFont="1" applyBorder="1">
      <alignment/>
      <protection/>
    </xf>
    <xf numFmtId="0" fontId="0" fillId="0" borderId="17" xfId="93" applyFont="1" applyBorder="1" applyAlignment="1">
      <alignment horizontal="left"/>
      <protection/>
    </xf>
    <xf numFmtId="0" fontId="0" fillId="0" borderId="17" xfId="93" applyFont="1" applyBorder="1">
      <alignment/>
      <protection/>
    </xf>
    <xf numFmtId="0" fontId="0" fillId="0" borderId="18" xfId="93" applyFont="1" applyBorder="1" applyAlignment="1">
      <alignment horizontal="center"/>
      <protection/>
    </xf>
    <xf numFmtId="0" fontId="0" fillId="0" borderId="19" xfId="93" applyFont="1" applyBorder="1" applyAlignment="1">
      <alignment horizontal="center"/>
      <protection/>
    </xf>
    <xf numFmtId="0" fontId="0" fillId="0" borderId="19" xfId="93" applyFont="1" applyBorder="1">
      <alignment/>
      <protection/>
    </xf>
    <xf numFmtId="0" fontId="0" fillId="0" borderId="20" xfId="93" applyFont="1" applyBorder="1" applyAlignment="1">
      <alignment horizontal="center"/>
      <protection/>
    </xf>
    <xf numFmtId="180" fontId="0" fillId="0" borderId="11" xfId="93" applyNumberFormat="1" applyFont="1" applyBorder="1" applyAlignment="1">
      <alignment horizontal="center" vertical="center" wrapText="1"/>
      <protection/>
    </xf>
    <xf numFmtId="0" fontId="0" fillId="0" borderId="15" xfId="93" applyFont="1" applyBorder="1" applyAlignment="1">
      <alignment horizontal="center"/>
      <protection/>
    </xf>
    <xf numFmtId="0" fontId="0" fillId="0" borderId="21" xfId="93" applyFont="1" applyBorder="1" applyAlignment="1">
      <alignment horizontal="center"/>
      <protection/>
    </xf>
    <xf numFmtId="0" fontId="3" fillId="0" borderId="14" xfId="93" applyFont="1" applyBorder="1" applyAlignment="1">
      <alignment horizontal="center"/>
      <protection/>
    </xf>
    <xf numFmtId="180" fontId="0" fillId="0" borderId="11" xfId="93" applyNumberFormat="1" applyFont="1" applyFill="1" applyBorder="1" applyAlignment="1">
      <alignment horizontal="center" vertical="center" wrapText="1"/>
      <protection/>
    </xf>
    <xf numFmtId="180" fontId="0" fillId="0" borderId="14" xfId="93" applyNumberFormat="1" applyFont="1" applyFill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/>
      <protection/>
    </xf>
    <xf numFmtId="0" fontId="0" fillId="0" borderId="22" xfId="93" applyFont="1" applyBorder="1">
      <alignment/>
      <protection/>
    </xf>
    <xf numFmtId="0" fontId="0" fillId="0" borderId="23" xfId="93" applyFont="1" applyBorder="1">
      <alignment/>
      <protection/>
    </xf>
    <xf numFmtId="0" fontId="0" fillId="0" borderId="0" xfId="93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0" fillId="0" borderId="11" xfId="93" applyBorder="1" applyAlignment="1">
      <alignment horizontal="center" vertical="center"/>
      <protection/>
    </xf>
    <xf numFmtId="0" fontId="0" fillId="0" borderId="12" xfId="93" applyBorder="1" applyAlignment="1">
      <alignment horizontal="center"/>
      <protection/>
    </xf>
    <xf numFmtId="0" fontId="0" fillId="0" borderId="11" xfId="93" applyBorder="1" applyAlignment="1">
      <alignment horizontal="center"/>
      <protection/>
    </xf>
    <xf numFmtId="0" fontId="0" fillId="0" borderId="13" xfId="93" applyBorder="1" applyAlignment="1">
      <alignment horizontal="center"/>
      <protection/>
    </xf>
    <xf numFmtId="0" fontId="0" fillId="0" borderId="14" xfId="93" applyBorder="1" applyAlignment="1">
      <alignment horizontal="center"/>
      <protection/>
    </xf>
    <xf numFmtId="0" fontId="0" fillId="0" borderId="14" xfId="93" applyBorder="1">
      <alignment/>
      <protection/>
    </xf>
    <xf numFmtId="0" fontId="0" fillId="0" borderId="11" xfId="93" applyBorder="1">
      <alignment/>
      <protection/>
    </xf>
    <xf numFmtId="0" fontId="0" fillId="0" borderId="15" xfId="93" applyBorder="1" applyAlignment="1">
      <alignment horizontal="center"/>
      <protection/>
    </xf>
    <xf numFmtId="0" fontId="0" fillId="0" borderId="16" xfId="93" applyBorder="1" applyAlignment="1">
      <alignment horizontal="center"/>
      <protection/>
    </xf>
    <xf numFmtId="0" fontId="0" fillId="0" borderId="22" xfId="93" applyBorder="1" applyAlignment="1">
      <alignment horizontal="center"/>
      <protection/>
    </xf>
    <xf numFmtId="0" fontId="0" fillId="0" borderId="10" xfId="93" applyBorder="1">
      <alignment/>
      <protection/>
    </xf>
    <xf numFmtId="0" fontId="0" fillId="0" borderId="15" xfId="93" applyBorder="1" applyAlignment="1">
      <alignment horizontal="left" wrapText="1"/>
      <protection/>
    </xf>
    <xf numFmtId="0" fontId="0" fillId="0" borderId="21" xfId="93" applyFont="1" applyBorder="1" applyAlignment="1">
      <alignment horizontal="left" wrapText="1"/>
      <protection/>
    </xf>
    <xf numFmtId="0" fontId="0" fillId="0" borderId="20" xfId="93" applyBorder="1" applyAlignment="1">
      <alignment horizontal="center"/>
      <protection/>
    </xf>
    <xf numFmtId="0" fontId="0" fillId="0" borderId="18" xfId="93" applyBorder="1" applyAlignment="1">
      <alignment horizontal="center"/>
      <protection/>
    </xf>
    <xf numFmtId="0" fontId="0" fillId="0" borderId="21" xfId="93" applyBorder="1" applyAlignment="1">
      <alignment horizontal="center"/>
      <protection/>
    </xf>
    <xf numFmtId="177" fontId="0" fillId="0" borderId="14" xfId="93" applyNumberFormat="1" applyFont="1" applyBorder="1">
      <alignment/>
      <protection/>
    </xf>
    <xf numFmtId="176" fontId="0" fillId="0" borderId="14" xfId="93" applyNumberFormat="1" applyFont="1" applyBorder="1" applyAlignment="1">
      <alignment horizontal="right"/>
      <protection/>
    </xf>
    <xf numFmtId="177" fontId="0" fillId="0" borderId="11" xfId="93" applyNumberFormat="1" applyFont="1" applyBorder="1">
      <alignment/>
      <protection/>
    </xf>
    <xf numFmtId="0" fontId="0" fillId="0" borderId="11" xfId="93" applyFont="1" applyBorder="1" applyAlignment="1">
      <alignment horizontal="right"/>
      <protection/>
    </xf>
    <xf numFmtId="0" fontId="0" fillId="0" borderId="11" xfId="93" applyFont="1" applyBorder="1">
      <alignment/>
      <protection/>
    </xf>
    <xf numFmtId="177" fontId="0" fillId="0" borderId="10" xfId="93" applyNumberFormat="1" applyFont="1" applyBorder="1">
      <alignment/>
      <protection/>
    </xf>
    <xf numFmtId="0" fontId="0" fillId="0" borderId="10" xfId="93" applyFont="1" applyBorder="1">
      <alignment/>
      <protection/>
    </xf>
    <xf numFmtId="0" fontId="0" fillId="0" borderId="12" xfId="93" applyFont="1" applyBorder="1" applyAlignment="1">
      <alignment horizontal="left" wrapText="1"/>
      <protection/>
    </xf>
    <xf numFmtId="0" fontId="2" fillId="0" borderId="0" xfId="93" applyFont="1" applyFill="1" applyAlignment="1">
      <alignment horizontal="center" vertical="center"/>
      <protection/>
    </xf>
    <xf numFmtId="0" fontId="0" fillId="0" borderId="0" xfId="93" applyFill="1" applyAlignment="1">
      <alignment horizontal="center" vertical="center"/>
      <protection/>
    </xf>
    <xf numFmtId="0" fontId="0" fillId="0" borderId="0" xfId="93" applyFill="1" applyAlignment="1">
      <alignment vertical="center"/>
      <protection/>
    </xf>
    <xf numFmtId="0" fontId="0" fillId="0" borderId="10" xfId="93" applyFill="1" applyBorder="1" applyAlignment="1">
      <alignment horizontal="center" vertical="center"/>
      <protection/>
    </xf>
    <xf numFmtId="0" fontId="0" fillId="0" borderId="11" xfId="93" applyFill="1" applyBorder="1" applyAlignment="1">
      <alignment horizontal="center" vertical="center"/>
      <protection/>
    </xf>
    <xf numFmtId="0" fontId="0" fillId="0" borderId="12" xfId="93" applyFill="1" applyBorder="1" applyAlignment="1">
      <alignment horizontal="center" vertical="center"/>
      <protection/>
    </xf>
    <xf numFmtId="0" fontId="0" fillId="0" borderId="13" xfId="93" applyFill="1" applyBorder="1" applyAlignment="1">
      <alignment horizontal="center" vertical="center"/>
      <protection/>
    </xf>
    <xf numFmtId="0" fontId="3" fillId="0" borderId="12" xfId="93" applyFont="1" applyFill="1" applyBorder="1" applyAlignment="1">
      <alignment horizontal="center" vertical="center"/>
      <protection/>
    </xf>
    <xf numFmtId="0" fontId="3" fillId="0" borderId="11" xfId="93" applyFont="1" applyFill="1" applyBorder="1" applyAlignment="1">
      <alignment horizontal="center" vertical="center"/>
      <protection/>
    </xf>
    <xf numFmtId="0" fontId="0" fillId="0" borderId="14" xfId="93" applyFill="1" applyBorder="1" applyAlignment="1">
      <alignment horizontal="center" vertical="center"/>
      <protection/>
    </xf>
    <xf numFmtId="0" fontId="0" fillId="0" borderId="14" xfId="93" applyFill="1" applyBorder="1" applyAlignment="1">
      <alignment vertical="center"/>
      <protection/>
    </xf>
    <xf numFmtId="0" fontId="0" fillId="0" borderId="11" xfId="83" applyFill="1" applyBorder="1" applyAlignment="1">
      <alignment horizontal="center" vertical="center"/>
      <protection/>
    </xf>
    <xf numFmtId="0" fontId="0" fillId="0" borderId="11" xfId="83" applyFont="1" applyFill="1" applyBorder="1" applyAlignment="1">
      <alignment horizontal="center" vertical="center"/>
      <protection/>
    </xf>
    <xf numFmtId="0" fontId="0" fillId="0" borderId="14" xfId="83" applyFont="1" applyFill="1" applyBorder="1" applyAlignment="1">
      <alignment horizontal="center" vertical="center"/>
      <protection/>
    </xf>
    <xf numFmtId="0" fontId="0" fillId="0" borderId="11" xfId="93" applyFill="1" applyBorder="1" applyAlignment="1">
      <alignment vertical="center"/>
      <protection/>
    </xf>
    <xf numFmtId="0" fontId="0" fillId="0" borderId="11" xfId="83" applyFill="1" applyBorder="1" applyAlignment="1">
      <alignment vertical="center"/>
      <protection/>
    </xf>
    <xf numFmtId="0" fontId="0" fillId="0" borderId="11" xfId="84" applyFont="1" applyFill="1" applyBorder="1" applyAlignment="1">
      <alignment horizontal="center" vertical="center"/>
      <protection/>
    </xf>
    <xf numFmtId="0" fontId="0" fillId="0" borderId="14" xfId="83" applyFill="1" applyBorder="1" applyAlignment="1">
      <alignment horizontal="center" vertical="center"/>
      <protection/>
    </xf>
    <xf numFmtId="0" fontId="0" fillId="0" borderId="14" xfId="83" applyFill="1" applyBorder="1" applyAlignment="1">
      <alignment vertical="center"/>
      <protection/>
    </xf>
    <xf numFmtId="0" fontId="0" fillId="0" borderId="11" xfId="84" applyFill="1" applyBorder="1" applyAlignment="1">
      <alignment horizontal="center" vertical="center"/>
      <protection/>
    </xf>
    <xf numFmtId="0" fontId="0" fillId="0" borderId="11" xfId="93" applyFont="1" applyFill="1" applyBorder="1" applyAlignment="1">
      <alignment horizontal="center" vertical="center"/>
      <protection/>
    </xf>
    <xf numFmtId="0" fontId="0" fillId="0" borderId="14" xfId="93" applyFont="1" applyFill="1" applyBorder="1" applyAlignment="1">
      <alignment horizontal="center" vertical="center"/>
      <protection/>
    </xf>
    <xf numFmtId="0" fontId="0" fillId="0" borderId="14" xfId="93" applyFont="1" applyFill="1" applyBorder="1" applyAlignment="1">
      <alignment vertical="center"/>
      <protection/>
    </xf>
    <xf numFmtId="0" fontId="0" fillId="0" borderId="11" xfId="93" applyFont="1" applyFill="1" applyBorder="1" applyAlignment="1">
      <alignment vertical="center"/>
      <protection/>
    </xf>
    <xf numFmtId="0" fontId="0" fillId="0" borderId="0" xfId="84" applyFill="1" applyAlignment="1">
      <alignment vertical="center"/>
      <protection/>
    </xf>
    <xf numFmtId="0" fontId="0" fillId="0" borderId="13" xfId="83" applyFont="1" applyFill="1" applyBorder="1" applyAlignment="1">
      <alignment horizontal="center" vertical="center"/>
      <protection/>
    </xf>
    <xf numFmtId="0" fontId="0" fillId="0" borderId="10" xfId="84" applyFill="1" applyBorder="1" applyAlignment="1">
      <alignment horizontal="center" vertical="center"/>
      <protection/>
    </xf>
    <xf numFmtId="183" fontId="0" fillId="0" borderId="11" xfId="84" applyNumberFormat="1" applyFont="1" applyFill="1" applyBorder="1" applyAlignment="1">
      <alignment horizontal="center" vertical="center" wrapText="1"/>
      <protection/>
    </xf>
    <xf numFmtId="0" fontId="0" fillId="0" borderId="15" xfId="93" applyFill="1" applyBorder="1" applyAlignment="1">
      <alignment horizontal="center" vertical="center"/>
      <protection/>
    </xf>
    <xf numFmtId="0" fontId="0" fillId="0" borderId="16" xfId="93" applyFill="1" applyBorder="1" applyAlignment="1">
      <alignment horizontal="center" vertical="center"/>
      <protection/>
    </xf>
    <xf numFmtId="0" fontId="0" fillId="0" borderId="22" xfId="93" applyFill="1" applyBorder="1" applyAlignment="1">
      <alignment horizontal="center" vertical="center"/>
      <protection/>
    </xf>
    <xf numFmtId="0" fontId="0" fillId="0" borderId="10" xfId="93" applyFill="1" applyBorder="1" applyAlignment="1">
      <alignment vertical="center"/>
      <protection/>
    </xf>
    <xf numFmtId="0" fontId="0" fillId="0" borderId="10" xfId="93" applyFont="1" applyFill="1" applyBorder="1" applyAlignment="1">
      <alignment horizontal="center" vertical="center"/>
      <protection/>
    </xf>
    <xf numFmtId="0" fontId="0" fillId="0" borderId="16" xfId="93" applyFill="1" applyBorder="1" applyAlignment="1">
      <alignment vertical="center"/>
      <protection/>
    </xf>
    <xf numFmtId="0" fontId="0" fillId="0" borderId="17" xfId="93" applyFill="1" applyBorder="1" applyAlignment="1">
      <alignment horizontal="left" vertical="center"/>
      <protection/>
    </xf>
    <xf numFmtId="0" fontId="0" fillId="0" borderId="17" xfId="93" applyFill="1" applyBorder="1" applyAlignment="1">
      <alignment vertical="center"/>
      <protection/>
    </xf>
    <xf numFmtId="0" fontId="0" fillId="0" borderId="17" xfId="93" applyFill="1" applyBorder="1" applyAlignment="1">
      <alignment horizontal="center" vertical="center"/>
      <protection/>
    </xf>
    <xf numFmtId="0" fontId="0" fillId="0" borderId="17" xfId="93" applyFont="1" applyFill="1" applyBorder="1" applyAlignment="1">
      <alignment horizontal="center" vertical="center"/>
      <protection/>
    </xf>
    <xf numFmtId="0" fontId="0" fillId="0" borderId="18" xfId="93" applyFill="1" applyBorder="1" applyAlignment="1">
      <alignment horizontal="center" vertical="center"/>
      <protection/>
    </xf>
    <xf numFmtId="0" fontId="0" fillId="0" borderId="19" xfId="93" applyFill="1" applyBorder="1" applyAlignment="1">
      <alignment horizontal="center" vertical="center"/>
      <protection/>
    </xf>
    <xf numFmtId="0" fontId="0" fillId="0" borderId="19" xfId="93" applyFill="1" applyBorder="1" applyAlignment="1">
      <alignment vertical="center"/>
      <protection/>
    </xf>
    <xf numFmtId="0" fontId="0" fillId="0" borderId="19" xfId="93" applyFont="1" applyFill="1" applyBorder="1" applyAlignment="1">
      <alignment horizontal="center" vertical="center"/>
      <protection/>
    </xf>
    <xf numFmtId="0" fontId="0" fillId="0" borderId="20" xfId="93" applyFill="1" applyBorder="1" applyAlignment="1">
      <alignment horizontal="center" vertical="center"/>
      <protection/>
    </xf>
    <xf numFmtId="0" fontId="0" fillId="0" borderId="11" xfId="83" applyFont="1" applyFill="1" applyBorder="1" applyAlignment="1">
      <alignment vertical="center"/>
      <protection/>
    </xf>
    <xf numFmtId="0" fontId="0" fillId="0" borderId="11" xfId="84" applyFont="1" applyFill="1" applyBorder="1" applyAlignment="1">
      <alignment vertical="center"/>
      <protection/>
    </xf>
    <xf numFmtId="0" fontId="0" fillId="0" borderId="11" xfId="84" applyFont="1" applyFill="1" applyBorder="1" applyAlignment="1">
      <alignment horizontal="center" vertical="center" wrapText="1"/>
      <protection/>
    </xf>
    <xf numFmtId="0" fontId="0" fillId="0" borderId="10" xfId="93" applyFont="1" applyFill="1" applyBorder="1" applyAlignment="1">
      <alignment vertical="center"/>
      <protection/>
    </xf>
    <xf numFmtId="0" fontId="0" fillId="0" borderId="17" xfId="93" applyFont="1" applyFill="1" applyBorder="1" applyAlignment="1">
      <alignment vertical="center"/>
      <protection/>
    </xf>
    <xf numFmtId="0" fontId="0" fillId="0" borderId="19" xfId="93" applyFont="1" applyFill="1" applyBorder="1" applyAlignment="1">
      <alignment vertical="center"/>
      <protection/>
    </xf>
    <xf numFmtId="0" fontId="0" fillId="0" borderId="21" xfId="93" applyFill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3" fillId="0" borderId="14" xfId="93" applyFont="1" applyFill="1" applyBorder="1" applyAlignment="1">
      <alignment horizontal="center" vertical="center"/>
      <protection/>
    </xf>
    <xf numFmtId="184" fontId="0" fillId="0" borderId="11" xfId="93" applyNumberFormat="1" applyFont="1" applyFill="1" applyBorder="1" applyAlignment="1">
      <alignment vertical="center"/>
      <protection/>
    </xf>
    <xf numFmtId="176" fontId="0" fillId="0" borderId="11" xfId="93" applyNumberFormat="1" applyFont="1" applyFill="1" applyBorder="1" applyAlignment="1">
      <alignment horizontal="center" vertical="center"/>
      <protection/>
    </xf>
    <xf numFmtId="184" fontId="0" fillId="0" borderId="10" xfId="93" applyNumberFormat="1" applyFont="1" applyFill="1" applyBorder="1" applyAlignment="1">
      <alignment vertical="center"/>
      <protection/>
    </xf>
    <xf numFmtId="0" fontId="0" fillId="0" borderId="22" xfId="93" applyFill="1" applyBorder="1" applyAlignment="1">
      <alignment vertical="center"/>
      <protection/>
    </xf>
    <xf numFmtId="0" fontId="0" fillId="0" borderId="23" xfId="93" applyFill="1" applyBorder="1" applyAlignment="1">
      <alignment vertical="center"/>
      <protection/>
    </xf>
    <xf numFmtId="0" fontId="8" fillId="0" borderId="14" xfId="93" applyFont="1" applyBorder="1">
      <alignment/>
      <protection/>
    </xf>
    <xf numFmtId="176" fontId="8" fillId="0" borderId="14" xfId="93" applyNumberFormat="1" applyFont="1" applyBorder="1">
      <alignment/>
      <protection/>
    </xf>
    <xf numFmtId="176" fontId="8" fillId="0" borderId="14" xfId="93" applyNumberFormat="1" applyFont="1" applyFill="1" applyBorder="1">
      <alignment/>
      <protection/>
    </xf>
    <xf numFmtId="0" fontId="8" fillId="0" borderId="11" xfId="93" applyFont="1" applyBorder="1">
      <alignment/>
      <protection/>
    </xf>
    <xf numFmtId="176" fontId="8" fillId="0" borderId="11" xfId="93" applyNumberFormat="1" applyFont="1" applyBorder="1">
      <alignment/>
      <protection/>
    </xf>
    <xf numFmtId="176" fontId="8" fillId="7" borderId="11" xfId="93" applyNumberFormat="1" applyFont="1" applyFill="1" applyBorder="1">
      <alignment/>
      <protection/>
    </xf>
    <xf numFmtId="182" fontId="8" fillId="0" borderId="11" xfId="93" applyNumberFormat="1" applyFont="1" applyBorder="1">
      <alignment/>
      <protection/>
    </xf>
    <xf numFmtId="182" fontId="8" fillId="0" borderId="11" xfId="93" applyNumberFormat="1" applyFont="1" applyBorder="1" applyAlignment="1">
      <alignment horizontal="right"/>
      <protection/>
    </xf>
    <xf numFmtId="182" fontId="8" fillId="0" borderId="11" xfId="93" applyNumberFormat="1" applyFont="1" applyFill="1" applyBorder="1" applyAlignment="1">
      <alignment horizontal="right"/>
      <protection/>
    </xf>
    <xf numFmtId="0" fontId="8" fillId="0" borderId="11" xfId="84" applyFont="1" applyBorder="1" applyAlignment="1">
      <alignment horizontal="justify" vertical="center"/>
      <protection/>
    </xf>
    <xf numFmtId="176" fontId="8" fillId="0" borderId="11" xfId="93" applyNumberFormat="1" applyFont="1" applyFill="1" applyBorder="1">
      <alignment/>
      <protection/>
    </xf>
    <xf numFmtId="0" fontId="8" fillId="0" borderId="14" xfId="93" applyFont="1" applyFill="1" applyBorder="1">
      <alignment/>
      <protection/>
    </xf>
    <xf numFmtId="0" fontId="8" fillId="0" borderId="11" xfId="93" applyFont="1" applyFill="1" applyBorder="1">
      <alignment/>
      <protection/>
    </xf>
    <xf numFmtId="0" fontId="8" fillId="0" borderId="11" xfId="93" applyFont="1" applyBorder="1" applyAlignment="1">
      <alignment horizontal="left"/>
      <protection/>
    </xf>
    <xf numFmtId="0" fontId="8" fillId="0" borderId="11" xfId="93" applyFont="1" applyBorder="1" applyAlignment="1">
      <alignment horizontal="center"/>
      <protection/>
    </xf>
    <xf numFmtId="176" fontId="8" fillId="0" borderId="11" xfId="93" applyNumberFormat="1" applyFont="1" applyFill="1" applyBorder="1" applyAlignment="1">
      <alignment horizontal="right"/>
      <protection/>
    </xf>
    <xf numFmtId="0" fontId="8" fillId="0" borderId="15" xfId="93" applyFont="1" applyBorder="1" applyAlignment="1">
      <alignment horizontal="center"/>
      <protection/>
    </xf>
    <xf numFmtId="0" fontId="8" fillId="0" borderId="12" xfId="93" applyFont="1" applyBorder="1" applyAlignment="1">
      <alignment horizontal="center"/>
      <protection/>
    </xf>
    <xf numFmtId="177" fontId="8" fillId="0" borderId="10" xfId="93" applyNumberFormat="1" applyFont="1" applyBorder="1">
      <alignment/>
      <protection/>
    </xf>
    <xf numFmtId="176" fontId="8" fillId="0" borderId="10" xfId="93" applyNumberFormat="1" applyFont="1" applyBorder="1">
      <alignment/>
      <protection/>
    </xf>
    <xf numFmtId="0" fontId="8" fillId="0" borderId="16" xfId="93" applyFont="1" applyFill="1" applyBorder="1" applyAlignment="1">
      <alignment horizontal="center"/>
      <protection/>
    </xf>
    <xf numFmtId="0" fontId="8" fillId="0" borderId="22" xfId="93" applyFont="1" applyFill="1" applyBorder="1" applyAlignment="1">
      <alignment horizontal="center"/>
      <protection/>
    </xf>
    <xf numFmtId="177" fontId="8" fillId="0" borderId="10" xfId="93" applyNumberFormat="1" applyFont="1" applyFill="1" applyBorder="1">
      <alignment/>
      <protection/>
    </xf>
    <xf numFmtId="176" fontId="8" fillId="0" borderId="10" xfId="93" applyNumberFormat="1" applyFont="1" applyFill="1" applyBorder="1">
      <alignment/>
      <protection/>
    </xf>
    <xf numFmtId="0" fontId="0" fillId="0" borderId="16" xfId="93" applyBorder="1">
      <alignment/>
      <protection/>
    </xf>
    <xf numFmtId="0" fontId="0" fillId="0" borderId="17" xfId="93" applyBorder="1" applyAlignment="1">
      <alignment horizontal="left"/>
      <protection/>
    </xf>
    <xf numFmtId="0" fontId="0" fillId="0" borderId="17" xfId="93" applyBorder="1">
      <alignment/>
      <protection/>
    </xf>
    <xf numFmtId="0" fontId="0" fillId="0" borderId="19" xfId="93" applyBorder="1" applyAlignment="1">
      <alignment horizontal="center"/>
      <protection/>
    </xf>
    <xf numFmtId="0" fontId="0" fillId="0" borderId="19" xfId="93" applyBorder="1">
      <alignment/>
      <protection/>
    </xf>
    <xf numFmtId="0" fontId="8" fillId="0" borderId="10" xfId="93" applyFont="1" applyBorder="1">
      <alignment/>
      <protection/>
    </xf>
    <xf numFmtId="178" fontId="8" fillId="0" borderId="10" xfId="93" applyNumberFormat="1" applyFont="1" applyFill="1" applyBorder="1">
      <alignment/>
      <protection/>
    </xf>
    <xf numFmtId="0" fontId="0" fillId="0" borderId="17" xfId="93" applyBorder="1" applyAlignment="1">
      <alignment/>
      <protection/>
    </xf>
    <xf numFmtId="0" fontId="0" fillId="0" borderId="0" xfId="93" applyFill="1">
      <alignment/>
      <protection/>
    </xf>
    <xf numFmtId="0" fontId="0" fillId="0" borderId="19" xfId="93" applyBorder="1" applyAlignment="1">
      <alignment/>
      <protection/>
    </xf>
    <xf numFmtId="0" fontId="0" fillId="0" borderId="10" xfId="93" applyFill="1" applyBorder="1" applyAlignment="1">
      <alignment horizontal="center"/>
      <protection/>
    </xf>
    <xf numFmtId="0" fontId="0" fillId="0" borderId="13" xfId="93" applyFill="1" applyBorder="1" applyAlignment="1">
      <alignment horizontal="center"/>
      <protection/>
    </xf>
    <xf numFmtId="0" fontId="0" fillId="0" borderId="14" xfId="93" applyFill="1" applyBorder="1" applyAlignment="1">
      <alignment horizontal="center"/>
      <protection/>
    </xf>
    <xf numFmtId="0" fontId="8" fillId="0" borderId="11" xfId="93" applyFont="1" applyFill="1" applyBorder="1" applyAlignment="1">
      <alignment horizontal="center"/>
      <protection/>
    </xf>
    <xf numFmtId="0" fontId="8" fillId="7" borderId="11" xfId="93" applyFont="1" applyFill="1" applyBorder="1" applyAlignment="1">
      <alignment horizontal="center"/>
      <protection/>
    </xf>
    <xf numFmtId="0" fontId="8" fillId="0" borderId="11" xfId="93" applyFont="1" applyBorder="1" applyAlignment="1">
      <alignment horizontal="right"/>
      <protection/>
    </xf>
    <xf numFmtId="0" fontId="8" fillId="0" borderId="14" xfId="93" applyFont="1" applyBorder="1" applyAlignment="1">
      <alignment horizontal="right"/>
      <protection/>
    </xf>
    <xf numFmtId="0" fontId="8" fillId="0" borderId="10" xfId="93" applyFont="1" applyFill="1" applyBorder="1">
      <alignment/>
      <protection/>
    </xf>
    <xf numFmtId="178" fontId="8" fillId="0" borderId="10" xfId="93" applyNumberFormat="1" applyFont="1" applyFill="1" applyBorder="1" applyAlignment="1">
      <alignment horizontal="right"/>
      <protection/>
    </xf>
    <xf numFmtId="0" fontId="0" fillId="0" borderId="17" xfId="93" applyFill="1" applyBorder="1">
      <alignment/>
      <protection/>
    </xf>
    <xf numFmtId="0" fontId="0" fillId="0" borderId="19" xfId="93" applyFill="1" applyBorder="1">
      <alignment/>
      <protection/>
    </xf>
    <xf numFmtId="0" fontId="8" fillId="0" borderId="11" xfId="93" applyFont="1" applyFill="1" applyBorder="1" applyAlignment="1">
      <alignment horizontal="right"/>
      <protection/>
    </xf>
    <xf numFmtId="0" fontId="9" fillId="0" borderId="11" xfId="93" applyFont="1" applyBorder="1" applyAlignment="1">
      <alignment horizontal="center"/>
      <protection/>
    </xf>
    <xf numFmtId="0" fontId="0" fillId="7" borderId="11" xfId="93" applyFill="1" applyBorder="1" applyAlignment="1">
      <alignment horizontal="center"/>
      <protection/>
    </xf>
    <xf numFmtId="0" fontId="0" fillId="0" borderId="22" xfId="93" applyBorder="1">
      <alignment/>
      <protection/>
    </xf>
    <xf numFmtId="0" fontId="0" fillId="0" borderId="23" xfId="93" applyBorder="1">
      <alignment/>
      <protection/>
    </xf>
    <xf numFmtId="0" fontId="2" fillId="0" borderId="0" xfId="93" applyFont="1" applyFill="1" applyAlignment="1">
      <alignment horizontal="center"/>
      <protection/>
    </xf>
    <xf numFmtId="0" fontId="0" fillId="0" borderId="0" xfId="93" applyFill="1" applyAlignment="1">
      <alignment horizontal="center"/>
      <protection/>
    </xf>
    <xf numFmtId="0" fontId="1" fillId="0" borderId="10" xfId="93" applyFont="1" applyFill="1" applyBorder="1" applyAlignment="1">
      <alignment horizontal="center" vertical="center"/>
      <protection/>
    </xf>
    <xf numFmtId="0" fontId="1" fillId="0" borderId="11" xfId="93" applyFont="1" applyFill="1" applyBorder="1" applyAlignment="1">
      <alignment horizontal="center" vertical="center"/>
      <protection/>
    </xf>
    <xf numFmtId="0" fontId="1" fillId="0" borderId="12" xfId="93" applyFont="1" applyFill="1" applyBorder="1" applyAlignment="1">
      <alignment horizontal="center" vertical="center"/>
      <protection/>
    </xf>
    <xf numFmtId="0" fontId="1" fillId="0" borderId="13" xfId="93" applyFont="1" applyFill="1" applyBorder="1" applyAlignment="1">
      <alignment horizontal="center" vertical="center"/>
      <protection/>
    </xf>
    <xf numFmtId="0" fontId="10" fillId="0" borderId="12" xfId="93" applyFont="1" applyFill="1" applyBorder="1" applyAlignment="1">
      <alignment horizontal="center" vertical="center"/>
      <protection/>
    </xf>
    <xf numFmtId="0" fontId="10" fillId="0" borderId="11" xfId="93" applyFont="1" applyFill="1" applyBorder="1" applyAlignment="1">
      <alignment horizontal="center" vertical="center"/>
      <protection/>
    </xf>
    <xf numFmtId="0" fontId="1" fillId="0" borderId="14" xfId="93" applyFont="1" applyFill="1" applyBorder="1" applyAlignment="1">
      <alignment horizontal="center" vertical="center"/>
      <protection/>
    </xf>
    <xf numFmtId="177" fontId="0" fillId="0" borderId="11" xfId="93" applyNumberFormat="1" applyFont="1" applyFill="1" applyBorder="1" applyAlignment="1">
      <alignment horizontal="center" vertical="center"/>
      <protection/>
    </xf>
    <xf numFmtId="0" fontId="6" fillId="0" borderId="11" xfId="93" applyFont="1" applyFill="1" applyBorder="1" applyAlignment="1">
      <alignment horizontal="center" vertical="center"/>
      <protection/>
    </xf>
    <xf numFmtId="177" fontId="6" fillId="0" borderId="11" xfId="93" applyNumberFormat="1" applyFont="1" applyFill="1" applyBorder="1" applyAlignment="1">
      <alignment horizontal="center" vertical="center"/>
      <protection/>
    </xf>
    <xf numFmtId="0" fontId="0" fillId="0" borderId="11" xfId="93" applyNumberFormat="1" applyFont="1" applyFill="1" applyBorder="1" applyAlignment="1">
      <alignment horizontal="center" vertical="center"/>
      <protection/>
    </xf>
    <xf numFmtId="0" fontId="0" fillId="0" borderId="15" xfId="93" applyFont="1" applyFill="1" applyBorder="1" applyAlignment="1">
      <alignment horizontal="left" vertical="top"/>
      <protection/>
    </xf>
    <xf numFmtId="0" fontId="0" fillId="0" borderId="21" xfId="93" applyFont="1" applyFill="1" applyBorder="1" applyAlignment="1">
      <alignment horizontal="left" vertical="top"/>
      <protection/>
    </xf>
    <xf numFmtId="0" fontId="1" fillId="0" borderId="20" xfId="93" applyFont="1" applyFill="1" applyBorder="1" applyAlignment="1">
      <alignment horizontal="center" vertical="center"/>
      <protection/>
    </xf>
    <xf numFmtId="0" fontId="1" fillId="0" borderId="18" xfId="93" applyFont="1" applyFill="1" applyBorder="1" applyAlignment="1">
      <alignment horizontal="center" vertical="center"/>
      <protection/>
    </xf>
    <xf numFmtId="185" fontId="0" fillId="0" borderId="11" xfId="93" applyNumberFormat="1" applyFont="1" applyFill="1" applyBorder="1" applyAlignment="1">
      <alignment horizontal="center" vertical="center"/>
      <protection/>
    </xf>
    <xf numFmtId="0" fontId="1" fillId="0" borderId="0" xfId="93" applyFont="1" applyFill="1">
      <alignment/>
      <protection/>
    </xf>
    <xf numFmtId="0" fontId="0" fillId="0" borderId="0" xfId="93" applyFont="1" applyFill="1">
      <alignment/>
      <protection/>
    </xf>
    <xf numFmtId="0" fontId="1" fillId="0" borderId="15" xfId="93" applyFont="1" applyFill="1" applyBorder="1" applyAlignment="1">
      <alignment horizontal="center" vertical="center"/>
      <protection/>
    </xf>
    <xf numFmtId="0" fontId="1" fillId="0" borderId="21" xfId="93" applyFont="1" applyFill="1" applyBorder="1" applyAlignment="1">
      <alignment horizontal="center" vertical="center"/>
      <protection/>
    </xf>
    <xf numFmtId="0" fontId="10" fillId="0" borderId="14" xfId="93" applyFont="1" applyFill="1" applyBorder="1" applyAlignment="1">
      <alignment horizontal="center" vertical="center"/>
      <protection/>
    </xf>
    <xf numFmtId="0" fontId="0" fillId="0" borderId="11" xfId="93" applyFont="1" applyFill="1" applyBorder="1" applyAlignment="1">
      <alignment horizontal="center" vertical="center" wrapText="1"/>
      <protection/>
    </xf>
    <xf numFmtId="0" fontId="10" fillId="0" borderId="10" xfId="93" applyFont="1" applyFill="1" applyBorder="1" applyAlignment="1">
      <alignment horizontal="center" vertical="center"/>
      <protection/>
    </xf>
    <xf numFmtId="184" fontId="0" fillId="0" borderId="11" xfId="93" applyNumberFormat="1" applyFont="1" applyFill="1" applyBorder="1" applyAlignment="1">
      <alignment horizontal="center" vertical="center"/>
      <protection/>
    </xf>
    <xf numFmtId="176" fontId="6" fillId="0" borderId="11" xfId="93" applyNumberFormat="1" applyFont="1" applyFill="1" applyBorder="1" applyAlignment="1">
      <alignment horizontal="center" vertical="center"/>
      <protection/>
    </xf>
    <xf numFmtId="181" fontId="0" fillId="0" borderId="11" xfId="93" applyNumberFormat="1" applyFont="1" applyFill="1" applyBorder="1" applyAlignment="1">
      <alignment horizontal="center" vertical="center"/>
      <protection/>
    </xf>
    <xf numFmtId="0" fontId="0" fillId="0" borderId="12" xfId="93" applyFont="1" applyFill="1" applyBorder="1" applyAlignment="1">
      <alignment horizontal="left" vertical="top"/>
      <protection/>
    </xf>
    <xf numFmtId="0" fontId="11" fillId="7" borderId="0" xfId="93" applyFont="1" applyFill="1" applyAlignment="1">
      <alignment/>
      <protection/>
    </xf>
    <xf numFmtId="0" fontId="11" fillId="7" borderId="10" xfId="93" applyFont="1" applyFill="1" applyBorder="1" applyAlignment="1">
      <alignment horizontal="center"/>
      <protection/>
    </xf>
    <xf numFmtId="0" fontId="11" fillId="7" borderId="11" xfId="93" applyFont="1" applyFill="1" applyBorder="1" applyAlignment="1">
      <alignment horizontal="center" vertical="center"/>
      <protection/>
    </xf>
    <xf numFmtId="0" fontId="11" fillId="7" borderId="12" xfId="93" applyFont="1" applyFill="1" applyBorder="1" applyAlignment="1">
      <alignment horizontal="center"/>
      <protection/>
    </xf>
    <xf numFmtId="0" fontId="11" fillId="7" borderId="11" xfId="93" applyFont="1" applyFill="1" applyBorder="1" applyAlignment="1">
      <alignment horizontal="center"/>
      <protection/>
    </xf>
    <xf numFmtId="0" fontId="11" fillId="7" borderId="13" xfId="93" applyFont="1" applyFill="1" applyBorder="1" applyAlignment="1">
      <alignment horizontal="center"/>
      <protection/>
    </xf>
    <xf numFmtId="0" fontId="12" fillId="7" borderId="12" xfId="93" applyFont="1" applyFill="1" applyBorder="1" applyAlignment="1">
      <alignment horizontal="center"/>
      <protection/>
    </xf>
    <xf numFmtId="0" fontId="12" fillId="7" borderId="11" xfId="93" applyFont="1" applyFill="1" applyBorder="1" applyAlignment="1">
      <alignment horizontal="center"/>
      <protection/>
    </xf>
    <xf numFmtId="0" fontId="11" fillId="7" borderId="14" xfId="93" applyFont="1" applyFill="1" applyBorder="1" applyAlignment="1">
      <alignment horizontal="center"/>
      <protection/>
    </xf>
    <xf numFmtId="0" fontId="8" fillId="7" borderId="14" xfId="93" applyFont="1" applyFill="1" applyBorder="1" applyAlignment="1">
      <alignment horizontal="center"/>
      <protection/>
    </xf>
    <xf numFmtId="176" fontId="8" fillId="7" borderId="11" xfId="93" applyNumberFormat="1" applyFont="1" applyFill="1" applyBorder="1" applyAlignment="1">
      <alignment horizontal="center"/>
      <protection/>
    </xf>
    <xf numFmtId="0" fontId="8" fillId="7" borderId="18" xfId="93" applyFont="1" applyFill="1" applyBorder="1" applyAlignment="1">
      <alignment horizontal="center"/>
      <protection/>
    </xf>
    <xf numFmtId="178" fontId="8" fillId="7" borderId="15" xfId="63" applyNumberFormat="1" applyFont="1" applyFill="1" applyBorder="1" applyAlignment="1">
      <alignment vertical="center"/>
      <protection/>
    </xf>
    <xf numFmtId="178" fontId="8" fillId="7" borderId="11" xfId="63" applyNumberFormat="1" applyFont="1" applyFill="1" applyBorder="1" applyAlignment="1">
      <alignment vertical="center"/>
      <protection/>
    </xf>
    <xf numFmtId="178" fontId="8" fillId="7" borderId="11" xfId="63" applyNumberFormat="1" applyFont="1" applyFill="1" applyBorder="1" applyAlignment="1">
      <alignment horizontal="center" vertical="center"/>
      <protection/>
    </xf>
    <xf numFmtId="0" fontId="8" fillId="7" borderId="14" xfId="93" applyFont="1" applyFill="1" applyBorder="1" applyAlignment="1">
      <alignment horizontal="center" vertical="center"/>
      <protection/>
    </xf>
    <xf numFmtId="0" fontId="8" fillId="7" borderId="10" xfId="93" applyFont="1" applyFill="1" applyBorder="1" applyAlignment="1">
      <alignment horizontal="center"/>
      <protection/>
    </xf>
    <xf numFmtId="178" fontId="8" fillId="7" borderId="22" xfId="63" applyNumberFormat="1" applyFont="1" applyFill="1" applyBorder="1" applyAlignment="1">
      <alignment horizontal="center" vertical="center"/>
      <protection/>
    </xf>
    <xf numFmtId="176" fontId="8" fillId="7" borderId="10" xfId="93" applyNumberFormat="1" applyFont="1" applyFill="1" applyBorder="1" applyAlignment="1">
      <alignment horizontal="center"/>
      <protection/>
    </xf>
    <xf numFmtId="0" fontId="8" fillId="7" borderId="23" xfId="93" applyFont="1" applyFill="1" applyBorder="1" applyAlignment="1">
      <alignment horizontal="center"/>
      <protection/>
    </xf>
    <xf numFmtId="177" fontId="8" fillId="7" borderId="14" xfId="93" applyNumberFormat="1" applyFont="1" applyFill="1" applyBorder="1" applyAlignment="1">
      <alignment horizontal="center"/>
      <protection/>
    </xf>
    <xf numFmtId="176" fontId="8" fillId="7" borderId="14" xfId="93" applyNumberFormat="1" applyFont="1" applyFill="1" applyBorder="1" applyAlignment="1">
      <alignment horizontal="center"/>
      <protection/>
    </xf>
    <xf numFmtId="0" fontId="11" fillId="7" borderId="16" xfId="93" applyFont="1" applyFill="1" applyBorder="1" applyAlignment="1">
      <alignment horizontal="center"/>
      <protection/>
    </xf>
    <xf numFmtId="0" fontId="11" fillId="7" borderId="22" xfId="93" applyFont="1" applyFill="1" applyBorder="1" applyAlignment="1">
      <alignment horizontal="center"/>
      <protection/>
    </xf>
    <xf numFmtId="0" fontId="11" fillId="7" borderId="11" xfId="93" applyFont="1" applyFill="1" applyBorder="1" applyAlignment="1">
      <alignment/>
      <protection/>
    </xf>
    <xf numFmtId="0" fontId="11" fillId="7" borderId="10" xfId="93" applyFont="1" applyFill="1" applyBorder="1" applyAlignment="1">
      <alignment/>
      <protection/>
    </xf>
    <xf numFmtId="0" fontId="11" fillId="7" borderId="16" xfId="93" applyFont="1" applyFill="1" applyBorder="1" applyAlignment="1">
      <alignment/>
      <protection/>
    </xf>
    <xf numFmtId="0" fontId="11" fillId="7" borderId="17" xfId="93" applyFont="1" applyFill="1" applyBorder="1" applyAlignment="1">
      <alignment horizontal="left"/>
      <protection/>
    </xf>
    <xf numFmtId="0" fontId="11" fillId="7" borderId="17" xfId="93" applyFont="1" applyFill="1" applyBorder="1" applyAlignment="1">
      <alignment/>
      <protection/>
    </xf>
    <xf numFmtId="0" fontId="11" fillId="7" borderId="18" xfId="93" applyFont="1" applyFill="1" applyBorder="1" applyAlignment="1">
      <alignment horizontal="center"/>
      <protection/>
    </xf>
    <xf numFmtId="0" fontId="11" fillId="7" borderId="19" xfId="93" applyFont="1" applyFill="1" applyBorder="1" applyAlignment="1">
      <alignment horizontal="center"/>
      <protection/>
    </xf>
    <xf numFmtId="0" fontId="11" fillId="7" borderId="19" xfId="93" applyFont="1" applyFill="1" applyBorder="1" applyAlignment="1">
      <alignment/>
      <protection/>
    </xf>
    <xf numFmtId="0" fontId="11" fillId="7" borderId="20" xfId="93" applyFont="1" applyFill="1" applyBorder="1" applyAlignment="1">
      <alignment horizontal="center"/>
      <protection/>
    </xf>
    <xf numFmtId="178" fontId="8" fillId="7" borderId="14" xfId="93" applyNumberFormat="1" applyFont="1" applyFill="1" applyBorder="1" applyAlignment="1">
      <alignment horizontal="center"/>
      <protection/>
    </xf>
    <xf numFmtId="0" fontId="11" fillId="7" borderId="15" xfId="93" applyFont="1" applyFill="1" applyBorder="1" applyAlignment="1">
      <alignment horizontal="center"/>
      <protection/>
    </xf>
    <xf numFmtId="0" fontId="11" fillId="7" borderId="21" xfId="93" applyFont="1" applyFill="1" applyBorder="1" applyAlignment="1">
      <alignment horizontal="center"/>
      <protection/>
    </xf>
    <xf numFmtId="0" fontId="12" fillId="7" borderId="14" xfId="93" applyFont="1" applyFill="1" applyBorder="1" applyAlignment="1">
      <alignment horizontal="center"/>
      <protection/>
    </xf>
    <xf numFmtId="0" fontId="0" fillId="0" borderId="0" xfId="93" applyAlignment="1">
      <alignment/>
      <protection/>
    </xf>
    <xf numFmtId="0" fontId="12" fillId="7" borderId="10" xfId="93" applyFont="1" applyFill="1" applyBorder="1" applyAlignment="1">
      <alignment horizontal="center"/>
      <protection/>
    </xf>
    <xf numFmtId="177" fontId="8" fillId="7" borderId="11" xfId="93" applyNumberFormat="1" applyFont="1" applyFill="1" applyBorder="1" applyAlignment="1">
      <alignment horizontal="center"/>
      <protection/>
    </xf>
    <xf numFmtId="184" fontId="8" fillId="7" borderId="11" xfId="93" applyNumberFormat="1" applyFont="1" applyFill="1" applyBorder="1" applyAlignment="1">
      <alignment horizontal="center"/>
      <protection/>
    </xf>
    <xf numFmtId="0" fontId="13" fillId="7" borderId="10" xfId="93" applyFont="1" applyFill="1" applyBorder="1" applyAlignment="1">
      <alignment/>
      <protection/>
    </xf>
    <xf numFmtId="0" fontId="14" fillId="0" borderId="10" xfId="93" applyFont="1" applyBorder="1" applyAlignment="1">
      <alignment/>
      <protection/>
    </xf>
    <xf numFmtId="0" fontId="0" fillId="0" borderId="22" xfId="93" applyBorder="1" applyAlignment="1">
      <alignment/>
      <protection/>
    </xf>
    <xf numFmtId="0" fontId="0" fillId="0" borderId="23" xfId="93" applyBorder="1" applyAlignment="1">
      <alignment/>
      <protection/>
    </xf>
    <xf numFmtId="0" fontId="0" fillId="7" borderId="0" xfId="93" applyFill="1">
      <alignment/>
      <protection/>
    </xf>
    <xf numFmtId="0" fontId="0" fillId="7" borderId="11" xfId="93" applyFill="1" applyBorder="1" applyAlignment="1">
      <alignment horizontal="center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4" xfId="93" applyFont="1" applyBorder="1">
      <alignment/>
      <protection/>
    </xf>
    <xf numFmtId="0" fontId="0" fillId="7" borderId="14" xfId="93" applyFont="1" applyFill="1" applyBorder="1" applyAlignment="1">
      <alignment horizontal="center" vertical="center"/>
      <protection/>
    </xf>
    <xf numFmtId="0" fontId="0" fillId="7" borderId="11" xfId="93" applyFont="1" applyFill="1" applyBorder="1" applyAlignment="1">
      <alignment horizontal="center" vertical="center"/>
      <protection/>
    </xf>
    <xf numFmtId="0" fontId="6" fillId="0" borderId="14" xfId="93" applyFont="1" applyFill="1" applyBorder="1" applyAlignment="1">
      <alignment horizontal="center" vertical="center"/>
      <protection/>
    </xf>
    <xf numFmtId="0" fontId="0" fillId="7" borderId="14" xfId="93" applyFill="1" applyBorder="1" applyAlignment="1">
      <alignment horizontal="center" vertical="center"/>
      <protection/>
    </xf>
    <xf numFmtId="0" fontId="0" fillId="0" borderId="14" xfId="93" applyBorder="1" applyAlignment="1">
      <alignment horizontal="center" vertical="center"/>
      <protection/>
    </xf>
    <xf numFmtId="0" fontId="0" fillId="0" borderId="11" xfId="93" applyFill="1" applyBorder="1">
      <alignment/>
      <protection/>
    </xf>
    <xf numFmtId="0" fontId="0" fillId="7" borderId="13" xfId="93" applyFill="1" applyBorder="1" applyAlignment="1">
      <alignment horizontal="center" vertical="center"/>
      <protection/>
    </xf>
    <xf numFmtId="0" fontId="0" fillId="7" borderId="22" xfId="93" applyFont="1" applyFill="1" applyBorder="1" applyAlignment="1">
      <alignment horizontal="center" vertical="center"/>
      <protection/>
    </xf>
    <xf numFmtId="0" fontId="0" fillId="7" borderId="10" xfId="93" applyFill="1" applyBorder="1" applyAlignment="1">
      <alignment horizontal="center" vertical="center"/>
      <protection/>
    </xf>
    <xf numFmtId="0" fontId="0" fillId="7" borderId="16" xfId="93" applyFill="1" applyBorder="1" applyAlignment="1">
      <alignment horizontal="center"/>
      <protection/>
    </xf>
    <xf numFmtId="0" fontId="0" fillId="7" borderId="22" xfId="93" applyFill="1" applyBorder="1" applyAlignment="1">
      <alignment horizontal="center"/>
      <protection/>
    </xf>
    <xf numFmtId="0" fontId="0" fillId="7" borderId="10" xfId="93" applyFill="1" applyBorder="1">
      <alignment/>
      <protection/>
    </xf>
    <xf numFmtId="0" fontId="0" fillId="7" borderId="17" xfId="93" applyFill="1" applyBorder="1">
      <alignment/>
      <protection/>
    </xf>
    <xf numFmtId="0" fontId="0" fillId="7" borderId="19" xfId="93" applyFill="1" applyBorder="1">
      <alignment/>
      <protection/>
    </xf>
    <xf numFmtId="0" fontId="6" fillId="0" borderId="0" xfId="93" applyFont="1">
      <alignment/>
      <protection/>
    </xf>
    <xf numFmtId="0" fontId="6" fillId="0" borderId="10" xfId="93" applyFont="1" applyFill="1" applyBorder="1" applyAlignment="1">
      <alignment horizontal="center" vertical="center"/>
      <protection/>
    </xf>
    <xf numFmtId="176" fontId="0" fillId="0" borderId="11" xfId="84" applyNumberFormat="1" applyFont="1" applyFill="1" applyBorder="1" applyAlignment="1">
      <alignment horizontal="center" vertical="center"/>
      <protection/>
    </xf>
    <xf numFmtId="0" fontId="6" fillId="7" borderId="10" xfId="93" applyFont="1" applyFill="1" applyBorder="1" applyAlignment="1">
      <alignment horizontal="center" vertical="center"/>
      <protection/>
    </xf>
    <xf numFmtId="0" fontId="6" fillId="0" borderId="17" xfId="93" applyFont="1" applyBorder="1">
      <alignment/>
      <protection/>
    </xf>
    <xf numFmtId="0" fontId="6" fillId="0" borderId="19" xfId="93" applyFont="1" applyBorder="1">
      <alignment/>
      <protection/>
    </xf>
    <xf numFmtId="0" fontId="15" fillId="0" borderId="0" xfId="93" applyFont="1" applyFill="1" applyAlignment="1">
      <alignment horizontal="center" vertical="center"/>
      <protection/>
    </xf>
    <xf numFmtId="0" fontId="16" fillId="0" borderId="0" xfId="93" applyFont="1" applyFill="1" applyAlignment="1">
      <alignment horizontal="center" vertical="center"/>
      <protection/>
    </xf>
    <xf numFmtId="0" fontId="0" fillId="0" borderId="0" xfId="93" applyFont="1" applyFill="1" applyAlignment="1">
      <alignment horizontal="center" vertical="center"/>
      <protection/>
    </xf>
    <xf numFmtId="186" fontId="0" fillId="0" borderId="0" xfId="93" applyNumberFormat="1" applyFont="1" applyFill="1" applyAlignment="1">
      <alignment horizontal="center" vertical="center"/>
      <protection/>
    </xf>
    <xf numFmtId="177" fontId="0" fillId="0" borderId="0" xfId="93" applyNumberFormat="1" applyFont="1" applyFill="1" applyAlignment="1">
      <alignment horizontal="center" vertical="center"/>
      <protection/>
    </xf>
    <xf numFmtId="176" fontId="0" fillId="0" borderId="0" xfId="93" applyNumberFormat="1" applyFont="1" applyFill="1" applyAlignment="1">
      <alignment horizontal="center" vertical="center"/>
      <protection/>
    </xf>
    <xf numFmtId="0" fontId="0" fillId="0" borderId="12" xfId="93" applyFont="1" applyFill="1" applyBorder="1" applyAlignment="1">
      <alignment horizontal="center" vertical="center"/>
      <protection/>
    </xf>
    <xf numFmtId="0" fontId="0" fillId="0" borderId="13" xfId="93" applyFont="1" applyFill="1" applyBorder="1" applyAlignment="1">
      <alignment horizontal="center" vertical="center"/>
      <protection/>
    </xf>
    <xf numFmtId="186" fontId="0" fillId="0" borderId="12" xfId="93" applyNumberFormat="1" applyFont="1" applyFill="1" applyBorder="1" applyAlignment="1">
      <alignment horizontal="center" vertical="center"/>
      <protection/>
    </xf>
    <xf numFmtId="186" fontId="0" fillId="0" borderId="14" xfId="93" applyNumberFormat="1" applyFont="1" applyFill="1" applyBorder="1" applyAlignment="1">
      <alignment horizontal="center" vertical="center"/>
      <protection/>
    </xf>
    <xf numFmtId="177" fontId="0" fillId="0" borderId="14" xfId="93" applyNumberFormat="1" applyFont="1" applyFill="1" applyBorder="1" applyAlignment="1">
      <alignment horizontal="center" vertical="center"/>
      <protection/>
    </xf>
    <xf numFmtId="177" fontId="0" fillId="0" borderId="11" xfId="93" applyNumberFormat="1" applyFont="1" applyFill="1" applyBorder="1" applyAlignment="1">
      <alignment horizontal="center" vertical="center" wrapText="1"/>
      <protection/>
    </xf>
    <xf numFmtId="186" fontId="0" fillId="0" borderId="11" xfId="93" applyNumberFormat="1" applyFont="1" applyFill="1" applyBorder="1" applyAlignment="1">
      <alignment horizontal="center" vertical="center"/>
      <protection/>
    </xf>
    <xf numFmtId="187" fontId="0" fillId="0" borderId="11" xfId="93" applyNumberFormat="1" applyBorder="1" applyAlignment="1">
      <alignment horizontal="center"/>
      <protection/>
    </xf>
    <xf numFmtId="177" fontId="0" fillId="0" borderId="11" xfId="93" applyNumberFormat="1" applyBorder="1" applyAlignment="1">
      <alignment horizontal="center"/>
      <protection/>
    </xf>
    <xf numFmtId="0" fontId="6" fillId="0" borderId="11" xfId="93" applyFont="1" applyFill="1" applyBorder="1" applyAlignment="1">
      <alignment horizontal="center" vertical="center" wrapText="1"/>
      <protection/>
    </xf>
    <xf numFmtId="0" fontId="0" fillId="0" borderId="11" xfId="93" applyFill="1" applyBorder="1" applyAlignment="1">
      <alignment horizontal="center" vertical="center" wrapText="1"/>
      <protection/>
    </xf>
    <xf numFmtId="0" fontId="0" fillId="17" borderId="15" xfId="93" applyFont="1" applyFill="1" applyBorder="1" applyAlignment="1">
      <alignment horizontal="center" vertical="center" wrapText="1"/>
      <protection/>
    </xf>
    <xf numFmtId="0" fontId="0" fillId="17" borderId="12" xfId="93" applyFont="1" applyFill="1" applyBorder="1" applyAlignment="1">
      <alignment horizontal="center" vertical="center" wrapText="1"/>
      <protection/>
    </xf>
    <xf numFmtId="0" fontId="0" fillId="17" borderId="11" xfId="93" applyFont="1" applyFill="1" applyBorder="1" applyAlignment="1">
      <alignment horizontal="center" vertical="center" wrapText="1"/>
      <protection/>
    </xf>
    <xf numFmtId="186" fontId="0" fillId="17" borderId="11" xfId="93" applyNumberFormat="1" applyFont="1" applyFill="1" applyBorder="1" applyAlignment="1">
      <alignment horizontal="center" vertical="center" wrapText="1"/>
      <protection/>
    </xf>
    <xf numFmtId="177" fontId="0" fillId="17" borderId="11" xfId="93" applyNumberFormat="1" applyFont="1" applyFill="1" applyBorder="1" applyAlignment="1">
      <alignment horizontal="center" vertical="center" wrapText="1"/>
      <protection/>
    </xf>
    <xf numFmtId="0" fontId="0" fillId="0" borderId="14" xfId="93" applyFont="1" applyFill="1" applyBorder="1" applyAlignment="1">
      <alignment horizontal="center" vertical="center" wrapText="1"/>
      <protection/>
    </xf>
    <xf numFmtId="186" fontId="0" fillId="0" borderId="11" xfId="93" applyNumberFormat="1" applyFont="1" applyFill="1" applyBorder="1" applyAlignment="1">
      <alignment horizontal="center" vertical="center" wrapText="1"/>
      <protection/>
    </xf>
    <xf numFmtId="0" fontId="0" fillId="0" borderId="12" xfId="93" applyFont="1" applyFill="1" applyBorder="1" applyAlignment="1">
      <alignment horizontal="center" vertical="center" wrapText="1"/>
      <protection/>
    </xf>
    <xf numFmtId="0" fontId="6" fillId="7" borderId="11" xfId="93" applyFont="1" applyFill="1" applyBorder="1" applyAlignment="1">
      <alignment horizontal="center" vertical="center" wrapText="1"/>
      <protection/>
    </xf>
    <xf numFmtId="186" fontId="6" fillId="0" borderId="11" xfId="93" applyNumberFormat="1" applyFont="1" applyFill="1" applyBorder="1" applyAlignment="1">
      <alignment horizontal="center" vertical="center" wrapText="1"/>
      <protection/>
    </xf>
    <xf numFmtId="0" fontId="0" fillId="7" borderId="11" xfId="93" applyFont="1" applyFill="1" applyBorder="1" applyAlignment="1">
      <alignment horizontal="center" vertical="center" wrapText="1"/>
      <protection/>
    </xf>
    <xf numFmtId="0" fontId="0" fillId="0" borderId="15" xfId="93" applyFont="1" applyFill="1" applyBorder="1" applyAlignment="1">
      <alignment horizontal="center" vertical="center"/>
      <protection/>
    </xf>
    <xf numFmtId="0" fontId="0" fillId="0" borderId="16" xfId="93" applyFont="1" applyFill="1" applyBorder="1" applyAlignment="1">
      <alignment horizontal="center" vertical="center"/>
      <protection/>
    </xf>
    <xf numFmtId="0" fontId="0" fillId="0" borderId="22" xfId="93" applyFont="1" applyFill="1" applyBorder="1" applyAlignment="1">
      <alignment horizontal="center" vertical="center"/>
      <protection/>
    </xf>
    <xf numFmtId="186" fontId="0" fillId="0" borderId="10" xfId="93" applyNumberFormat="1" applyFont="1" applyFill="1" applyBorder="1" applyAlignment="1">
      <alignment horizontal="center" vertical="center"/>
      <protection/>
    </xf>
    <xf numFmtId="177" fontId="0" fillId="0" borderId="10" xfId="93" applyNumberFormat="1" applyFont="1" applyFill="1" applyBorder="1" applyAlignment="1">
      <alignment horizontal="center" vertical="center"/>
      <protection/>
    </xf>
    <xf numFmtId="186" fontId="0" fillId="0" borderId="17" xfId="93" applyNumberFormat="1" applyFont="1" applyFill="1" applyBorder="1" applyAlignment="1">
      <alignment horizontal="center" vertical="center"/>
      <protection/>
    </xf>
    <xf numFmtId="177" fontId="0" fillId="0" borderId="17" xfId="93" applyNumberFormat="1" applyFont="1" applyFill="1" applyBorder="1" applyAlignment="1">
      <alignment horizontal="center" vertical="center"/>
      <protection/>
    </xf>
    <xf numFmtId="176" fontId="0" fillId="0" borderId="17" xfId="93" applyNumberFormat="1" applyFont="1" applyFill="1" applyBorder="1" applyAlignment="1">
      <alignment horizontal="center" vertical="center"/>
      <protection/>
    </xf>
    <xf numFmtId="0" fontId="0" fillId="0" borderId="18" xfId="93" applyFont="1" applyFill="1" applyBorder="1" applyAlignment="1">
      <alignment horizontal="center" vertical="center"/>
      <protection/>
    </xf>
    <xf numFmtId="186" fontId="0" fillId="0" borderId="19" xfId="93" applyNumberFormat="1" applyFont="1" applyFill="1" applyBorder="1" applyAlignment="1">
      <alignment horizontal="center" vertical="center"/>
      <protection/>
    </xf>
    <xf numFmtId="177" fontId="0" fillId="0" borderId="19" xfId="93" applyNumberFormat="1" applyFont="1" applyFill="1" applyBorder="1" applyAlignment="1">
      <alignment horizontal="center" vertical="center"/>
      <protection/>
    </xf>
    <xf numFmtId="176" fontId="0" fillId="0" borderId="19" xfId="93" applyNumberFormat="1" applyFont="1" applyFill="1" applyBorder="1" applyAlignment="1">
      <alignment horizontal="center" vertical="center"/>
      <protection/>
    </xf>
    <xf numFmtId="177" fontId="0" fillId="0" borderId="0" xfId="93" applyNumberFormat="1" applyFill="1" applyAlignment="1">
      <alignment horizontal="center" vertical="center"/>
      <protection/>
    </xf>
    <xf numFmtId="0" fontId="0" fillId="0" borderId="20" xfId="93" applyFont="1" applyFill="1" applyBorder="1" applyAlignment="1">
      <alignment horizontal="center" vertical="center"/>
      <protection/>
    </xf>
    <xf numFmtId="0" fontId="0" fillId="0" borderId="11" xfId="93" applyFill="1" applyBorder="1" applyAlignment="1">
      <alignment horizontal="center"/>
      <protection/>
    </xf>
    <xf numFmtId="180" fontId="0" fillId="17" borderId="11" xfId="93" applyNumberFormat="1" applyFont="1" applyFill="1" applyBorder="1" applyAlignment="1">
      <alignment horizontal="center" vertical="center" wrapText="1"/>
      <protection/>
    </xf>
    <xf numFmtId="178" fontId="0" fillId="0" borderId="10" xfId="93" applyNumberFormat="1" applyFont="1" applyFill="1" applyBorder="1" applyAlignment="1">
      <alignment horizontal="center" vertical="center"/>
      <protection/>
    </xf>
    <xf numFmtId="178" fontId="0" fillId="7" borderId="10" xfId="93" applyNumberFormat="1" applyFont="1" applyFill="1" applyBorder="1" applyAlignment="1">
      <alignment horizontal="center" vertical="center"/>
      <protection/>
    </xf>
    <xf numFmtId="0" fontId="0" fillId="0" borderId="21" xfId="93" applyFont="1" applyFill="1" applyBorder="1" applyAlignment="1">
      <alignment horizontal="center" vertical="center"/>
      <protection/>
    </xf>
    <xf numFmtId="176" fontId="0" fillId="0" borderId="10" xfId="93" applyNumberFormat="1" applyFont="1" applyFill="1" applyBorder="1" applyAlignment="1">
      <alignment horizontal="center" vertical="center"/>
      <protection/>
    </xf>
    <xf numFmtId="176" fontId="0" fillId="0" borderId="14" xfId="93" applyNumberFormat="1" applyFont="1" applyFill="1" applyBorder="1" applyAlignment="1">
      <alignment horizontal="center" vertical="center"/>
      <protection/>
    </xf>
    <xf numFmtId="181" fontId="0" fillId="0" borderId="11" xfId="93" applyNumberFormat="1" applyFont="1" applyFill="1" applyBorder="1" applyAlignment="1">
      <alignment horizontal="center" vertical="center" wrapText="1"/>
      <protection/>
    </xf>
    <xf numFmtId="182" fontId="0" fillId="17" borderId="11" xfId="93" applyNumberFormat="1" applyFont="1" applyFill="1" applyBorder="1" applyAlignment="1">
      <alignment horizontal="center" vertical="center" wrapText="1"/>
      <protection/>
    </xf>
    <xf numFmtId="182" fontId="0" fillId="0" borderId="11" xfId="93" applyNumberFormat="1" applyFont="1" applyFill="1" applyBorder="1" applyAlignment="1">
      <alignment horizontal="center" vertical="center"/>
      <protection/>
    </xf>
    <xf numFmtId="182" fontId="0" fillId="0" borderId="11" xfId="93" applyNumberFormat="1" applyFont="1" applyFill="1" applyBorder="1" applyAlignment="1">
      <alignment horizontal="center" vertical="center" wrapText="1"/>
      <protection/>
    </xf>
    <xf numFmtId="182" fontId="0" fillId="0" borderId="11" xfId="29" applyNumberFormat="1" applyFont="1" applyFill="1" applyBorder="1" applyAlignment="1">
      <alignment horizontal="center" vertical="center" wrapText="1"/>
    </xf>
    <xf numFmtId="181" fontId="0" fillId="0" borderId="10" xfId="93" applyNumberFormat="1" applyFont="1" applyFill="1" applyBorder="1" applyAlignment="1">
      <alignment horizontal="center" vertical="center"/>
      <protection/>
    </xf>
    <xf numFmtId="182" fontId="0" fillId="0" borderId="10" xfId="93" applyNumberFormat="1" applyFont="1" applyFill="1" applyBorder="1" applyAlignment="1">
      <alignment horizontal="center" vertical="center"/>
      <protection/>
    </xf>
    <xf numFmtId="0" fontId="0" fillId="0" borderId="23" xfId="93" applyFont="1" applyFill="1" applyBorder="1" applyAlignment="1">
      <alignment horizontal="center" vertical="center"/>
      <protection/>
    </xf>
    <xf numFmtId="0" fontId="0" fillId="0" borderId="0" xfId="93" applyBorder="1">
      <alignment/>
      <protection/>
    </xf>
    <xf numFmtId="0" fontId="8" fillId="0" borderId="0" xfId="93" applyFont="1">
      <alignment/>
      <protection/>
    </xf>
    <xf numFmtId="0" fontId="8" fillId="0" borderId="0" xfId="93" applyFont="1" applyBorder="1">
      <alignment/>
      <protection/>
    </xf>
    <xf numFmtId="0" fontId="8" fillId="0" borderId="10" xfId="93" applyFont="1" applyBorder="1" applyAlignment="1">
      <alignment horizontal="center"/>
      <protection/>
    </xf>
    <xf numFmtId="0" fontId="8" fillId="0" borderId="11" xfId="93" applyFont="1" applyBorder="1" applyAlignment="1">
      <alignment horizontal="center" vertical="center"/>
      <protection/>
    </xf>
    <xf numFmtId="0" fontId="8" fillId="0" borderId="13" xfId="93" applyFont="1" applyBorder="1" applyAlignment="1">
      <alignment horizontal="center"/>
      <protection/>
    </xf>
    <xf numFmtId="0" fontId="12" fillId="0" borderId="12" xfId="93" applyFont="1" applyBorder="1" applyAlignment="1">
      <alignment horizontal="center"/>
      <protection/>
    </xf>
    <xf numFmtId="0" fontId="12" fillId="0" borderId="11" xfId="93" applyFont="1" applyBorder="1" applyAlignment="1">
      <alignment horizontal="center"/>
      <protection/>
    </xf>
    <xf numFmtId="0" fontId="8" fillId="0" borderId="14" xfId="93" applyFont="1" applyBorder="1" applyAlignment="1">
      <alignment horizontal="center"/>
      <protection/>
    </xf>
    <xf numFmtId="0" fontId="8" fillId="0" borderId="24" xfId="93" applyNumberFormat="1" applyFont="1" applyBorder="1" applyAlignment="1">
      <alignment horizontal="center" vertical="center"/>
      <protection/>
    </xf>
    <xf numFmtId="182" fontId="8" fillId="0" borderId="11" xfId="93" applyNumberFormat="1" applyFont="1" applyBorder="1" applyAlignment="1">
      <alignment horizontal="center" vertical="center"/>
      <protection/>
    </xf>
    <xf numFmtId="182" fontId="12" fillId="0" borderId="11" xfId="93" applyNumberFormat="1" applyFont="1" applyBorder="1" applyAlignment="1">
      <alignment horizontal="center" vertical="center"/>
      <protection/>
    </xf>
    <xf numFmtId="182" fontId="8" fillId="0" borderId="11" xfId="93" applyNumberFormat="1" applyFont="1" applyFill="1" applyBorder="1" applyAlignment="1">
      <alignment horizontal="center" vertical="center"/>
      <protection/>
    </xf>
    <xf numFmtId="0" fontId="12" fillId="0" borderId="0" xfId="93" applyFont="1" applyAlignment="1">
      <alignment horizontal="center" vertical="center"/>
      <protection/>
    </xf>
    <xf numFmtId="176" fontId="8" fillId="0" borderId="11" xfId="93" applyNumberFormat="1" applyFont="1" applyBorder="1" applyAlignment="1">
      <alignment horizontal="center" vertical="center"/>
      <protection/>
    </xf>
    <xf numFmtId="177" fontId="8" fillId="0" borderId="11" xfId="93" applyNumberFormat="1" applyFont="1" applyBorder="1" applyAlignment="1">
      <alignment horizontal="center" vertical="center"/>
      <protection/>
    </xf>
    <xf numFmtId="0" fontId="8" fillId="0" borderId="12" xfId="93" applyFont="1" applyBorder="1" applyAlignment="1">
      <alignment horizontal="center" vertical="center"/>
      <protection/>
    </xf>
    <xf numFmtId="0" fontId="8" fillId="0" borderId="12" xfId="93" applyFont="1" applyBorder="1" applyAlignment="1">
      <alignment horizontal="center" vertical="center" wrapText="1"/>
      <protection/>
    </xf>
    <xf numFmtId="0" fontId="8" fillId="0" borderId="20" xfId="93" applyFont="1" applyBorder="1" applyAlignment="1">
      <alignment horizontal="center"/>
      <protection/>
    </xf>
    <xf numFmtId="0" fontId="8" fillId="0" borderId="18" xfId="93" applyFont="1" applyBorder="1" applyAlignment="1">
      <alignment horizontal="center"/>
      <protection/>
    </xf>
    <xf numFmtId="180" fontId="8" fillId="0" borderId="11" xfId="93" applyNumberFormat="1" applyFont="1" applyBorder="1" applyAlignment="1">
      <alignment horizontal="center" vertical="center"/>
      <protection/>
    </xf>
    <xf numFmtId="180" fontId="17" fillId="0" borderId="11" xfId="93" applyNumberFormat="1" applyFont="1" applyBorder="1" applyAlignment="1">
      <alignment horizontal="center" vertical="center"/>
      <protection/>
    </xf>
    <xf numFmtId="180" fontId="8" fillId="0" borderId="11" xfId="93" applyNumberFormat="1" applyFont="1" applyBorder="1" applyAlignment="1">
      <alignment horizontal="center"/>
      <protection/>
    </xf>
    <xf numFmtId="188" fontId="8" fillId="0" borderId="11" xfId="93" applyNumberFormat="1" applyFont="1" applyBorder="1" applyAlignment="1">
      <alignment horizontal="center" vertical="center"/>
      <protection/>
    </xf>
    <xf numFmtId="31" fontId="0" fillId="0" borderId="19" xfId="93" applyNumberFormat="1" applyBorder="1" applyAlignment="1">
      <alignment horizontal="center"/>
      <protection/>
    </xf>
    <xf numFmtId="0" fontId="8" fillId="0" borderId="21" xfId="93" applyFont="1" applyBorder="1" applyAlignment="1">
      <alignment horizontal="center"/>
      <protection/>
    </xf>
    <xf numFmtId="0" fontId="12" fillId="0" borderId="14" xfId="93" applyFont="1" applyBorder="1" applyAlignment="1">
      <alignment horizontal="center"/>
      <protection/>
    </xf>
    <xf numFmtId="182" fontId="8" fillId="0" borderId="11" xfId="93" applyNumberFormat="1" applyFont="1" applyBorder="1" applyAlignment="1">
      <alignment horizontal="center"/>
      <protection/>
    </xf>
    <xf numFmtId="180" fontId="8" fillId="0" borderId="15" xfId="93" applyNumberFormat="1" applyFont="1" applyBorder="1" applyAlignment="1">
      <alignment horizontal="center"/>
      <protection/>
    </xf>
    <xf numFmtId="0" fontId="8" fillId="0" borderId="12" xfId="93" applyFont="1" applyBorder="1">
      <alignment/>
      <protection/>
    </xf>
    <xf numFmtId="0" fontId="12" fillId="0" borderId="10" xfId="93" applyFont="1" applyBorder="1" applyAlignment="1">
      <alignment horizontal="center"/>
      <protection/>
    </xf>
    <xf numFmtId="182" fontId="8" fillId="0" borderId="25" xfId="93" applyNumberFormat="1" applyFont="1" applyBorder="1" applyAlignment="1">
      <alignment horizontal="center"/>
      <protection/>
    </xf>
    <xf numFmtId="0" fontId="8" fillId="0" borderId="0" xfId="93" applyFont="1" applyBorder="1" applyAlignment="1">
      <alignment horizontal="center"/>
      <protection/>
    </xf>
    <xf numFmtId="176" fontId="8" fillId="0" borderId="11" xfId="93" applyNumberFormat="1" applyFont="1" applyBorder="1" applyAlignment="1">
      <alignment horizontal="center"/>
      <protection/>
    </xf>
    <xf numFmtId="182" fontId="8" fillId="0" borderId="10" xfId="93" applyNumberFormat="1" applyFont="1" applyBorder="1">
      <alignment/>
      <protection/>
    </xf>
    <xf numFmtId="0" fontId="8" fillId="0" borderId="16" xfId="93" applyFont="1" applyBorder="1">
      <alignment/>
      <protection/>
    </xf>
    <xf numFmtId="0" fontId="8" fillId="0" borderId="17" xfId="93" applyFont="1" applyBorder="1" applyAlignment="1">
      <alignment horizontal="left"/>
      <protection/>
    </xf>
    <xf numFmtId="0" fontId="8" fillId="0" borderId="17" xfId="93" applyFont="1" applyBorder="1" applyAlignment="1">
      <alignment horizontal="left" vertical="top" wrapText="1"/>
      <protection/>
    </xf>
    <xf numFmtId="0" fontId="8" fillId="0" borderId="19" xfId="93" applyFont="1" applyBorder="1" applyAlignment="1">
      <alignment horizontal="center"/>
      <protection/>
    </xf>
    <xf numFmtId="0" fontId="8" fillId="0" borderId="19" xfId="93" applyFont="1" applyBorder="1" applyAlignment="1">
      <alignment horizontal="left" vertical="top" wrapText="1"/>
      <protection/>
    </xf>
    <xf numFmtId="0" fontId="0" fillId="0" borderId="17" xfId="93" applyBorder="1" applyAlignment="1">
      <alignment horizontal="center"/>
      <protection/>
    </xf>
    <xf numFmtId="0" fontId="3" fillId="0" borderId="0" xfId="93" applyFont="1">
      <alignment/>
      <protection/>
    </xf>
    <xf numFmtId="180" fontId="8" fillId="0" borderId="10" xfId="93" applyNumberFormat="1" applyFont="1" applyBorder="1">
      <alignment/>
      <protection/>
    </xf>
    <xf numFmtId="188" fontId="8" fillId="0" borderId="10" xfId="93" applyNumberFormat="1" applyFont="1" applyBorder="1">
      <alignment/>
      <protection/>
    </xf>
    <xf numFmtId="182" fontId="8" fillId="0" borderId="10" xfId="93" applyNumberFormat="1" applyFont="1" applyBorder="1" applyAlignment="1">
      <alignment horizontal="center"/>
      <protection/>
    </xf>
    <xf numFmtId="0" fontId="8" fillId="0" borderId="22" xfId="93" applyFont="1" applyBorder="1" applyAlignment="1">
      <alignment horizontal="left" vertical="top" wrapText="1"/>
      <protection/>
    </xf>
    <xf numFmtId="0" fontId="8" fillId="0" borderId="23" xfId="93" applyFont="1" applyBorder="1" applyAlignment="1">
      <alignment horizontal="left" vertical="top" wrapText="1"/>
      <protection/>
    </xf>
    <xf numFmtId="0" fontId="18" fillId="0" borderId="0" xfId="96">
      <alignment/>
      <protection/>
    </xf>
    <xf numFmtId="0" fontId="8" fillId="0" borderId="0" xfId="96" applyFont="1" applyBorder="1">
      <alignment/>
      <protection/>
    </xf>
    <xf numFmtId="0" fontId="8" fillId="0" borderId="0" xfId="96" applyFont="1" applyFill="1">
      <alignment/>
      <protection/>
    </xf>
    <xf numFmtId="0" fontId="8" fillId="0" borderId="0" xfId="96" applyFont="1">
      <alignment/>
      <protection/>
    </xf>
    <xf numFmtId="0" fontId="2" fillId="0" borderId="0" xfId="96" applyFont="1" applyAlignment="1">
      <alignment horizontal="center"/>
      <protection/>
    </xf>
    <xf numFmtId="0" fontId="18" fillId="0" borderId="0" xfId="96" applyAlignment="1">
      <alignment horizontal="center"/>
      <protection/>
    </xf>
    <xf numFmtId="0" fontId="8" fillId="0" borderId="10" xfId="96" applyFont="1" applyBorder="1" applyAlignment="1">
      <alignment horizontal="center"/>
      <protection/>
    </xf>
    <xf numFmtId="0" fontId="8" fillId="0" borderId="11" xfId="96" applyFont="1" applyBorder="1" applyAlignment="1">
      <alignment horizontal="center" vertical="center"/>
      <protection/>
    </xf>
    <xf numFmtId="0" fontId="8" fillId="0" borderId="12" xfId="96" applyFont="1" applyBorder="1" applyAlignment="1">
      <alignment horizontal="center"/>
      <protection/>
    </xf>
    <xf numFmtId="0" fontId="8" fillId="0" borderId="11" xfId="96" applyFont="1" applyBorder="1" applyAlignment="1">
      <alignment horizontal="center"/>
      <protection/>
    </xf>
    <xf numFmtId="0" fontId="8" fillId="0" borderId="13" xfId="96" applyFont="1" applyBorder="1" applyAlignment="1">
      <alignment horizontal="center"/>
      <protection/>
    </xf>
    <xf numFmtId="0" fontId="12" fillId="0" borderId="12" xfId="96" applyFont="1" applyBorder="1" applyAlignment="1">
      <alignment horizontal="center"/>
      <protection/>
    </xf>
    <xf numFmtId="0" fontId="12" fillId="0" borderId="11" xfId="96" applyFont="1" applyBorder="1" applyAlignment="1">
      <alignment horizontal="center"/>
      <protection/>
    </xf>
    <xf numFmtId="0" fontId="8" fillId="0" borderId="14" xfId="96" applyFont="1" applyBorder="1" applyAlignment="1">
      <alignment horizontal="center"/>
      <protection/>
    </xf>
    <xf numFmtId="0" fontId="8" fillId="0" borderId="14" xfId="96" applyFont="1" applyFill="1" applyBorder="1">
      <alignment/>
      <protection/>
    </xf>
    <xf numFmtId="0" fontId="12" fillId="0" borderId="14" xfId="96" applyFont="1" applyFill="1" applyBorder="1">
      <alignment/>
      <protection/>
    </xf>
    <xf numFmtId="0" fontId="8" fillId="0" borderId="11" xfId="96" applyFont="1" applyFill="1" applyBorder="1">
      <alignment/>
      <protection/>
    </xf>
    <xf numFmtId="0" fontId="12" fillId="0" borderId="11" xfId="96" applyFont="1" applyFill="1" applyBorder="1">
      <alignment/>
      <protection/>
    </xf>
    <xf numFmtId="0" fontId="12" fillId="18" borderId="11" xfId="96" applyFont="1" applyFill="1" applyBorder="1">
      <alignment/>
      <protection/>
    </xf>
    <xf numFmtId="0" fontId="18" fillId="0" borderId="14" xfId="96" applyBorder="1">
      <alignment/>
      <protection/>
    </xf>
    <xf numFmtId="176" fontId="18" fillId="0" borderId="14" xfId="96" applyNumberFormat="1" applyBorder="1">
      <alignment/>
      <protection/>
    </xf>
    <xf numFmtId="0" fontId="18" fillId="0" borderId="11" xfId="96" applyBorder="1">
      <alignment/>
      <protection/>
    </xf>
    <xf numFmtId="178" fontId="18" fillId="0" borderId="14" xfId="96" applyNumberFormat="1" applyBorder="1">
      <alignment/>
      <protection/>
    </xf>
    <xf numFmtId="0" fontId="8" fillId="0" borderId="0" xfId="96" applyFont="1" applyFill="1" applyBorder="1">
      <alignment/>
      <protection/>
    </xf>
    <xf numFmtId="0" fontId="8" fillId="0" borderId="15" xfId="96" applyFont="1" applyFill="1" applyBorder="1" applyAlignment="1">
      <alignment horizontal="center"/>
      <protection/>
    </xf>
    <xf numFmtId="0" fontId="8" fillId="0" borderId="12" xfId="96" applyFont="1" applyFill="1" applyBorder="1" applyAlignment="1">
      <alignment horizontal="center"/>
      <protection/>
    </xf>
    <xf numFmtId="0" fontId="8" fillId="0" borderId="16" xfId="96" applyFont="1" applyBorder="1" applyAlignment="1">
      <alignment horizontal="center"/>
      <protection/>
    </xf>
    <xf numFmtId="0" fontId="8" fillId="0" borderId="22" xfId="96" applyFont="1" applyBorder="1" applyAlignment="1">
      <alignment horizontal="center"/>
      <protection/>
    </xf>
    <xf numFmtId="0" fontId="8" fillId="0" borderId="10" xfId="96" applyFont="1" applyBorder="1">
      <alignment/>
      <protection/>
    </xf>
    <xf numFmtId="0" fontId="8" fillId="0" borderId="15" xfId="96" applyFont="1" applyBorder="1">
      <alignment/>
      <protection/>
    </xf>
    <xf numFmtId="0" fontId="8" fillId="0" borderId="21" xfId="96" applyFont="1" applyBorder="1" applyAlignment="1">
      <alignment horizontal="left"/>
      <protection/>
    </xf>
    <xf numFmtId="0" fontId="8" fillId="0" borderId="21" xfId="96" applyFont="1" applyBorder="1">
      <alignment/>
      <protection/>
    </xf>
    <xf numFmtId="0" fontId="1" fillId="0" borderId="0" xfId="96" applyFont="1">
      <alignment/>
      <protection/>
    </xf>
    <xf numFmtId="0" fontId="8" fillId="0" borderId="20" xfId="96" applyFont="1" applyBorder="1" applyAlignment="1">
      <alignment horizontal="center"/>
      <protection/>
    </xf>
    <xf numFmtId="0" fontId="8" fillId="0" borderId="18" xfId="96" applyFont="1" applyBorder="1" applyAlignment="1">
      <alignment horizontal="center"/>
      <protection/>
    </xf>
    <xf numFmtId="0" fontId="8" fillId="0" borderId="15" xfId="96" applyFont="1" applyBorder="1" applyAlignment="1">
      <alignment horizontal="center"/>
      <protection/>
    </xf>
    <xf numFmtId="0" fontId="8" fillId="0" borderId="21" xfId="96" applyFont="1" applyBorder="1" applyAlignment="1">
      <alignment horizontal="center"/>
      <protection/>
    </xf>
    <xf numFmtId="0" fontId="8" fillId="0" borderId="10" xfId="96" applyFont="1" applyBorder="1" applyAlignment="1">
      <alignment horizontal="center" vertical="center"/>
      <protection/>
    </xf>
    <xf numFmtId="0" fontId="8" fillId="0" borderId="13" xfId="96" applyFont="1" applyBorder="1" applyAlignment="1">
      <alignment horizontal="center" vertical="center"/>
      <protection/>
    </xf>
    <xf numFmtId="0" fontId="12" fillId="0" borderId="14" xfId="96" applyFont="1" applyBorder="1" applyAlignment="1">
      <alignment horizontal="center"/>
      <protection/>
    </xf>
    <xf numFmtId="0" fontId="8" fillId="0" borderId="14" xfId="96" applyFont="1" applyBorder="1" applyAlignment="1">
      <alignment horizontal="center" vertical="center"/>
      <protection/>
    </xf>
    <xf numFmtId="0" fontId="12" fillId="0" borderId="10" xfId="96" applyFont="1" applyBorder="1" applyAlignment="1">
      <alignment horizontal="center"/>
      <protection/>
    </xf>
    <xf numFmtId="176" fontId="8" fillId="0" borderId="14" xfId="96" applyNumberFormat="1" applyFont="1" applyFill="1" applyBorder="1">
      <alignment/>
      <protection/>
    </xf>
    <xf numFmtId="176" fontId="8" fillId="0" borderId="11" xfId="96" applyNumberFormat="1" applyFont="1" applyFill="1" applyBorder="1">
      <alignment/>
      <protection/>
    </xf>
    <xf numFmtId="176" fontId="8" fillId="0" borderId="10" xfId="96" applyNumberFormat="1" applyFont="1" applyBorder="1">
      <alignment/>
      <protection/>
    </xf>
    <xf numFmtId="0" fontId="8" fillId="0" borderId="12" xfId="96" applyFont="1" applyBorder="1">
      <alignment/>
      <protection/>
    </xf>
    <xf numFmtId="0" fontId="1" fillId="0" borderId="17" xfId="96" applyFont="1" applyBorder="1" applyAlignment="1">
      <alignment horizontal="center"/>
      <protection/>
    </xf>
    <xf numFmtId="0" fontId="12" fillId="0" borderId="0" xfId="96" applyFont="1">
      <alignment/>
      <protection/>
    </xf>
    <xf numFmtId="0" fontId="0" fillId="0" borderId="19" xfId="93" applyBorder="1" applyAlignment="1">
      <alignment horizontal="left"/>
      <protection/>
    </xf>
    <xf numFmtId="0" fontId="0" fillId="0" borderId="14" xfId="93" applyFont="1" applyFill="1" applyBorder="1">
      <alignment/>
      <protection/>
    </xf>
    <xf numFmtId="0" fontId="0" fillId="0" borderId="26" xfId="93" applyFont="1" applyFill="1" applyBorder="1">
      <alignment/>
      <protection/>
    </xf>
    <xf numFmtId="0" fontId="0" fillId="0" borderId="11" xfId="93" applyFont="1" applyFill="1" applyBorder="1">
      <alignment/>
      <protection/>
    </xf>
    <xf numFmtId="0" fontId="0" fillId="0" borderId="27" xfId="93" applyFont="1" applyFill="1" applyBorder="1">
      <alignment/>
      <protection/>
    </xf>
    <xf numFmtId="0" fontId="0" fillId="0" borderId="28" xfId="93" applyFont="1" applyFill="1" applyBorder="1">
      <alignment/>
      <protection/>
    </xf>
    <xf numFmtId="0" fontId="0" fillId="0" borderId="12" xfId="93" applyFont="1" applyFill="1" applyBorder="1">
      <alignment/>
      <protection/>
    </xf>
    <xf numFmtId="0" fontId="0" fillId="0" borderId="15" xfId="93" applyFont="1" applyFill="1" applyBorder="1" applyAlignment="1">
      <alignment horizontal="center"/>
      <protection/>
    </xf>
    <xf numFmtId="0" fontId="0" fillId="0" borderId="12" xfId="93" applyFont="1" applyFill="1" applyBorder="1" applyAlignment="1">
      <alignment horizontal="center"/>
      <protection/>
    </xf>
    <xf numFmtId="0" fontId="0" fillId="0" borderId="10" xfId="93" applyFont="1" applyFill="1" applyBorder="1">
      <alignment/>
      <protection/>
    </xf>
    <xf numFmtId="0" fontId="0" fillId="0" borderId="14" xfId="93" applyFont="1" applyFill="1" applyBorder="1" applyAlignment="1">
      <alignment horizontal="center"/>
      <protection/>
    </xf>
    <xf numFmtId="0" fontId="0" fillId="0" borderId="11" xfId="93" applyFont="1" applyFill="1" applyBorder="1" applyAlignment="1">
      <alignment horizontal="center"/>
      <protection/>
    </xf>
    <xf numFmtId="0" fontId="0" fillId="0" borderId="27" xfId="93" applyFont="1" applyFill="1" applyBorder="1" applyAlignment="1">
      <alignment horizontal="center"/>
      <protection/>
    </xf>
    <xf numFmtId="0" fontId="0" fillId="0" borderId="26" xfId="93" applyFont="1" applyFill="1" applyBorder="1" applyAlignment="1">
      <alignment horizontal="center"/>
      <protection/>
    </xf>
    <xf numFmtId="0" fontId="0" fillId="0" borderId="29" xfId="93" applyFont="1" applyFill="1" applyBorder="1" applyAlignment="1">
      <alignment horizontal="center"/>
      <protection/>
    </xf>
    <xf numFmtId="182" fontId="0" fillId="0" borderId="14" xfId="93" applyNumberFormat="1" applyFont="1" applyFill="1" applyBorder="1">
      <alignment/>
      <protection/>
    </xf>
    <xf numFmtId="0" fontId="0" fillId="17" borderId="13" xfId="93" applyFill="1" applyBorder="1">
      <alignment/>
      <protection/>
    </xf>
    <xf numFmtId="182" fontId="0" fillId="0" borderId="11" xfId="93" applyNumberFormat="1" applyFont="1" applyFill="1" applyBorder="1">
      <alignment/>
      <protection/>
    </xf>
    <xf numFmtId="183" fontId="0" fillId="0" borderId="11" xfId="93" applyNumberFormat="1" applyFont="1" applyFill="1" applyBorder="1" applyAlignment="1">
      <alignment horizontal="center"/>
      <protection/>
    </xf>
    <xf numFmtId="0" fontId="0" fillId="0" borderId="13" xfId="93" applyFill="1" applyBorder="1">
      <alignment/>
      <protection/>
    </xf>
    <xf numFmtId="0" fontId="0" fillId="17" borderId="0" xfId="93" applyFill="1">
      <alignment/>
      <protection/>
    </xf>
    <xf numFmtId="0" fontId="3" fillId="0" borderId="20" xfId="93" applyFont="1" applyFill="1" applyBorder="1">
      <alignment/>
      <protection/>
    </xf>
    <xf numFmtId="0" fontId="3" fillId="0" borderId="13" xfId="93" applyFont="1" applyFill="1" applyBorder="1">
      <alignment/>
      <protection/>
    </xf>
    <xf numFmtId="182" fontId="0" fillId="0" borderId="11" xfId="93" applyNumberFormat="1" applyFont="1" applyFill="1" applyBorder="1" applyAlignment="1">
      <alignment horizontal="center"/>
      <protection/>
    </xf>
    <xf numFmtId="0" fontId="0" fillId="0" borderId="20" xfId="93" applyFill="1" applyBorder="1">
      <alignment/>
      <protection/>
    </xf>
    <xf numFmtId="182" fontId="0" fillId="0" borderId="10" xfId="93" applyNumberFormat="1" applyFont="1" applyFill="1" applyBorder="1" applyAlignment="1">
      <alignment horizontal="center"/>
      <protection/>
    </xf>
    <xf numFmtId="0" fontId="0" fillId="0" borderId="0" xfId="93" applyFill="1" applyBorder="1">
      <alignment/>
      <protection/>
    </xf>
    <xf numFmtId="0" fontId="0" fillId="0" borderId="10" xfId="93" applyFont="1" applyFill="1" applyBorder="1" applyAlignment="1">
      <alignment horizontal="center"/>
      <protection/>
    </xf>
    <xf numFmtId="0" fontId="0" fillId="0" borderId="14" xfId="93" applyFill="1" applyBorder="1">
      <alignment/>
      <protection/>
    </xf>
    <xf numFmtId="0" fontId="8" fillId="0" borderId="11" xfId="93" applyFont="1" applyFill="1" applyBorder="1" applyAlignment="1">
      <alignment horizontal="center" vertical="center"/>
      <protection/>
    </xf>
    <xf numFmtId="0" fontId="0" fillId="0" borderId="15" xfId="93" applyFill="1" applyBorder="1" applyAlignment="1">
      <alignment horizontal="center"/>
      <protection/>
    </xf>
    <xf numFmtId="0" fontId="0" fillId="0" borderId="12" xfId="93" applyFill="1" applyBorder="1" applyAlignment="1">
      <alignment horizontal="center"/>
      <protection/>
    </xf>
    <xf numFmtId="176" fontId="0" fillId="0" borderId="10" xfId="93" applyNumberFormat="1" applyBorder="1">
      <alignment/>
      <protection/>
    </xf>
    <xf numFmtId="0" fontId="0" fillId="0" borderId="16" xfId="93" applyBorder="1" applyAlignment="1">
      <alignment vertical="top" wrapText="1"/>
      <protection/>
    </xf>
    <xf numFmtId="0" fontId="0" fillId="0" borderId="17" xfId="93" applyBorder="1" applyAlignment="1">
      <alignment vertical="top" wrapText="1"/>
      <protection/>
    </xf>
    <xf numFmtId="0" fontId="0" fillId="0" borderId="18" xfId="93" applyBorder="1" applyAlignment="1">
      <alignment vertical="top" wrapText="1"/>
      <protection/>
    </xf>
    <xf numFmtId="0" fontId="0" fillId="0" borderId="19" xfId="93" applyBorder="1" applyAlignment="1">
      <alignment vertical="top" wrapText="1"/>
      <protection/>
    </xf>
    <xf numFmtId="0" fontId="0" fillId="0" borderId="0" xfId="93" applyAlignment="1">
      <alignment wrapText="1"/>
      <protection/>
    </xf>
    <xf numFmtId="184" fontId="0" fillId="0" borderId="11" xfId="93" applyNumberFormat="1" applyFill="1" applyBorder="1" applyAlignment="1">
      <alignment horizontal="center" vertical="center"/>
      <protection/>
    </xf>
    <xf numFmtId="0" fontId="19" fillId="0" borderId="11" xfId="93" applyFont="1" applyFill="1" applyBorder="1" applyAlignment="1">
      <alignment horizontal="center" vertical="center"/>
      <protection/>
    </xf>
    <xf numFmtId="184" fontId="0" fillId="0" borderId="14" xfId="93" applyNumberFormat="1" applyFill="1" applyBorder="1" applyAlignment="1">
      <alignment horizontal="center" vertical="center"/>
      <protection/>
    </xf>
    <xf numFmtId="184" fontId="0" fillId="0" borderId="11" xfId="93" applyNumberFormat="1" applyFill="1" applyBorder="1">
      <alignment/>
      <protection/>
    </xf>
    <xf numFmtId="184" fontId="0" fillId="0" borderId="10" xfId="93" applyNumberFormat="1" applyBorder="1">
      <alignment/>
      <protection/>
    </xf>
    <xf numFmtId="0" fontId="0" fillId="0" borderId="22" xfId="93" applyBorder="1" applyAlignment="1">
      <alignment vertical="top" wrapText="1"/>
      <protection/>
    </xf>
    <xf numFmtId="0" fontId="0" fillId="0" borderId="23" xfId="93" applyBorder="1" applyAlignment="1">
      <alignment vertical="top" wrapText="1"/>
      <protection/>
    </xf>
    <xf numFmtId="0" fontId="6" fillId="0" borderId="14" xfId="93" applyFont="1" applyBorder="1">
      <alignment/>
      <protection/>
    </xf>
    <xf numFmtId="0" fontId="6" fillId="0" borderId="14" xfId="93" applyFont="1" applyBorder="1" applyAlignment="1">
      <alignment horizontal="center" vertical="center"/>
      <protection/>
    </xf>
    <xf numFmtId="0" fontId="11" fillId="0" borderId="14" xfId="93" applyFont="1" applyBorder="1" applyAlignment="1">
      <alignment horizontal="center" vertical="center"/>
      <protection/>
    </xf>
    <xf numFmtId="0" fontId="6" fillId="0" borderId="11" xfId="93" applyFont="1" applyBorder="1">
      <alignment/>
      <protection/>
    </xf>
    <xf numFmtId="0" fontId="6" fillId="7" borderId="11" xfId="93" applyFont="1" applyFill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11" fillId="0" borderId="11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/>
      <protection/>
    </xf>
    <xf numFmtId="176" fontId="6" fillId="0" borderId="11" xfId="93" applyNumberFormat="1" applyFont="1" applyBorder="1" applyAlignment="1">
      <alignment horizontal="center"/>
      <protection/>
    </xf>
    <xf numFmtId="183" fontId="0" fillId="0" borderId="11" xfId="93" applyNumberFormat="1" applyFont="1" applyBorder="1">
      <alignment/>
      <protection/>
    </xf>
    <xf numFmtId="0" fontId="0" fillId="0" borderId="16" xfId="93" applyBorder="1" applyAlignment="1">
      <alignment horizontal="center" wrapText="1"/>
      <protection/>
    </xf>
    <xf numFmtId="0" fontId="0" fillId="0" borderId="17" xfId="93" applyBorder="1" applyAlignment="1">
      <alignment horizontal="center" wrapText="1"/>
      <protection/>
    </xf>
    <xf numFmtId="0" fontId="0" fillId="0" borderId="18" xfId="93" applyBorder="1" applyAlignment="1">
      <alignment horizontal="center" wrapText="1"/>
      <protection/>
    </xf>
    <xf numFmtId="0" fontId="0" fillId="0" borderId="19" xfId="93" applyBorder="1" applyAlignment="1">
      <alignment horizontal="center" wrapText="1"/>
      <protection/>
    </xf>
    <xf numFmtId="180" fontId="6" fillId="0" borderId="11" xfId="93" applyNumberFormat="1" applyFont="1" applyBorder="1" applyAlignment="1">
      <alignment horizontal="center"/>
      <protection/>
    </xf>
    <xf numFmtId="188" fontId="0" fillId="0" borderId="11" xfId="93" applyNumberFormat="1" applyFont="1" applyBorder="1">
      <alignment/>
      <protection/>
    </xf>
    <xf numFmtId="180" fontId="0" fillId="0" borderId="11" xfId="93" applyNumberFormat="1" applyFont="1" applyBorder="1">
      <alignment/>
      <protection/>
    </xf>
    <xf numFmtId="0" fontId="6" fillId="0" borderId="10" xfId="93" applyFont="1" applyBorder="1" applyAlignment="1">
      <alignment horizontal="center"/>
      <protection/>
    </xf>
    <xf numFmtId="0" fontId="6" fillId="0" borderId="14" xfId="93" applyFont="1" applyBorder="1" applyAlignment="1">
      <alignment horizontal="center"/>
      <protection/>
    </xf>
    <xf numFmtId="0" fontId="20" fillId="0" borderId="10" xfId="93" applyFont="1" applyBorder="1" applyAlignment="1">
      <alignment horizontal="center"/>
      <protection/>
    </xf>
    <xf numFmtId="0" fontId="20" fillId="0" borderId="14" xfId="93" applyFont="1" applyBorder="1" applyAlignment="1">
      <alignment horizontal="center"/>
      <protection/>
    </xf>
    <xf numFmtId="0" fontId="0" fillId="0" borderId="22" xfId="93" applyBorder="1" applyAlignment="1">
      <alignment horizontal="center" wrapText="1"/>
      <protection/>
    </xf>
    <xf numFmtId="0" fontId="0" fillId="0" borderId="23" xfId="93" applyBorder="1" applyAlignment="1">
      <alignment horizontal="center" wrapText="1"/>
      <protection/>
    </xf>
    <xf numFmtId="176" fontId="0" fillId="0" borderId="11" xfId="93" applyNumberFormat="1" applyBorder="1">
      <alignment/>
      <protection/>
    </xf>
    <xf numFmtId="0" fontId="0" fillId="0" borderId="11" xfId="93" applyBorder="1" applyAlignment="1">
      <alignment horizontal="left"/>
      <protection/>
    </xf>
    <xf numFmtId="0" fontId="0" fillId="0" borderId="12" xfId="93" applyFill="1" applyBorder="1">
      <alignment/>
      <protection/>
    </xf>
    <xf numFmtId="0" fontId="0" fillId="0" borderId="15" xfId="93" applyFill="1" applyBorder="1">
      <alignment/>
      <protection/>
    </xf>
    <xf numFmtId="0" fontId="0" fillId="0" borderId="15" xfId="93" applyBorder="1">
      <alignment/>
      <protection/>
    </xf>
    <xf numFmtId="0" fontId="0" fillId="0" borderId="21" xfId="93" applyBorder="1" applyAlignment="1">
      <alignment horizontal="left"/>
      <protection/>
    </xf>
    <xf numFmtId="0" fontId="0" fillId="0" borderId="21" xfId="93" applyBorder="1">
      <alignment/>
      <protection/>
    </xf>
    <xf numFmtId="0" fontId="3" fillId="0" borderId="10" xfId="93" applyFont="1" applyFill="1" applyBorder="1" applyAlignment="1">
      <alignment horizontal="center"/>
      <protection/>
    </xf>
    <xf numFmtId="0" fontId="3" fillId="0" borderId="14" xfId="93" applyFont="1" applyFill="1" applyBorder="1" applyAlignment="1">
      <alignment horizontal="center"/>
      <protection/>
    </xf>
    <xf numFmtId="0" fontId="0" fillId="0" borderId="11" xfId="93" applyFont="1" applyFill="1" applyBorder="1" applyAlignment="1">
      <alignment horizontal="right"/>
      <protection/>
    </xf>
    <xf numFmtId="2" fontId="0" fillId="0" borderId="11" xfId="93" applyNumberFormat="1" applyFont="1" applyFill="1" applyBorder="1" applyAlignment="1">
      <alignment horizontal="center" vertical="center"/>
      <protection/>
    </xf>
    <xf numFmtId="184" fontId="0" fillId="0" borderId="11" xfId="93" applyNumberFormat="1" applyFont="1" applyFill="1" applyBorder="1">
      <alignment/>
      <protection/>
    </xf>
    <xf numFmtId="176" fontId="0" fillId="0" borderId="11" xfId="93" applyNumberFormat="1" applyFont="1" applyFill="1" applyBorder="1">
      <alignment/>
      <protection/>
    </xf>
    <xf numFmtId="178" fontId="0" fillId="0" borderId="11" xfId="93" applyNumberFormat="1" applyFont="1" applyFill="1" applyBorder="1">
      <alignment/>
      <protection/>
    </xf>
    <xf numFmtId="176" fontId="0" fillId="0" borderId="10" xfId="93" applyNumberFormat="1" applyFont="1" applyFill="1" applyBorder="1">
      <alignment/>
      <protection/>
    </xf>
    <xf numFmtId="0" fontId="0" fillId="0" borderId="21" xfId="93" applyFont="1" applyFill="1" applyBorder="1">
      <alignment/>
      <protection/>
    </xf>
    <xf numFmtId="0" fontId="6" fillId="0" borderId="11" xfId="93" applyFont="1" applyBorder="1" applyAlignment="1">
      <alignment horizontal="left"/>
      <protection/>
    </xf>
    <xf numFmtId="0" fontId="3" fillId="0" borderId="11" xfId="93" applyFont="1" applyBorder="1">
      <alignment/>
      <protection/>
    </xf>
    <xf numFmtId="186" fontId="0" fillId="0" borderId="14" xfId="93" applyNumberFormat="1" applyFont="1" applyBorder="1">
      <alignment/>
      <protection/>
    </xf>
    <xf numFmtId="186" fontId="0" fillId="0" borderId="11" xfId="83" applyNumberFormat="1" applyFont="1" applyBorder="1" applyAlignment="1">
      <alignment horizontal="left"/>
      <protection/>
    </xf>
    <xf numFmtId="0" fontId="0" fillId="0" borderId="11" xfId="83" applyFont="1" applyBorder="1" applyAlignment="1">
      <alignment horizontal="center"/>
      <protection/>
    </xf>
    <xf numFmtId="182" fontId="0" fillId="0" borderId="11" xfId="93" applyNumberFormat="1" applyFont="1" applyBorder="1">
      <alignment/>
      <protection/>
    </xf>
    <xf numFmtId="186" fontId="0" fillId="0" borderId="11" xfId="93" applyNumberFormat="1" applyFont="1" applyBorder="1">
      <alignment/>
      <protection/>
    </xf>
    <xf numFmtId="0" fontId="3" fillId="0" borderId="11" xfId="93" applyFont="1" applyFill="1" applyBorder="1">
      <alignment/>
      <protection/>
    </xf>
    <xf numFmtId="0" fontId="20" fillId="0" borderId="11" xfId="93" applyFont="1" applyFill="1" applyBorder="1">
      <alignment/>
      <protection/>
    </xf>
    <xf numFmtId="0" fontId="19" fillId="0" borderId="11" xfId="93" applyFont="1" applyBorder="1">
      <alignment/>
      <protection/>
    </xf>
    <xf numFmtId="186" fontId="0" fillId="0" borderId="11" xfId="93" applyNumberFormat="1" applyFont="1" applyBorder="1" applyAlignment="1">
      <alignment horizontal="center"/>
      <protection/>
    </xf>
    <xf numFmtId="182" fontId="6" fillId="0" borderId="11" xfId="93" applyNumberFormat="1" applyFont="1" applyBorder="1">
      <alignment/>
      <protection/>
    </xf>
    <xf numFmtId="0" fontId="0" fillId="0" borderId="11" xfId="93" applyFont="1" applyBorder="1" applyAlignment="1">
      <alignment horizontal="left"/>
      <protection/>
    </xf>
    <xf numFmtId="49" fontId="0" fillId="0" borderId="11" xfId="93" applyNumberFormat="1" applyFont="1" applyFill="1" applyBorder="1">
      <alignment/>
      <protection/>
    </xf>
    <xf numFmtId="0" fontId="6" fillId="0" borderId="11" xfId="93" applyNumberFormat="1" applyFont="1" applyBorder="1" applyAlignment="1">
      <alignment horizontal="center"/>
      <protection/>
    </xf>
    <xf numFmtId="0" fontId="6" fillId="0" borderId="11" xfId="93" applyFont="1" applyFill="1" applyBorder="1">
      <alignment/>
      <protection/>
    </xf>
    <xf numFmtId="0" fontId="6" fillId="0" borderId="11" xfId="93" applyFont="1" applyFill="1" applyBorder="1" applyAlignment="1">
      <alignment horizontal="center"/>
      <protection/>
    </xf>
    <xf numFmtId="0" fontId="0" fillId="0" borderId="0" xfId="93" applyBorder="1" applyAlignment="1">
      <alignment horizontal="center" vertical="center" wrapText="1"/>
      <protection/>
    </xf>
    <xf numFmtId="0" fontId="0" fillId="0" borderId="0" xfId="93" applyAlignment="1">
      <alignment horizontal="center" vertical="center" wrapText="1"/>
      <protection/>
    </xf>
    <xf numFmtId="186" fontId="0" fillId="0" borderId="0" xfId="93" applyNumberFormat="1" applyAlignment="1">
      <alignment horizontal="center" vertical="center" wrapText="1"/>
      <protection/>
    </xf>
    <xf numFmtId="188" fontId="0" fillId="0" borderId="0" xfId="93" applyNumberFormat="1" applyAlignment="1">
      <alignment horizontal="center" vertical="center" wrapText="1"/>
      <protection/>
    </xf>
    <xf numFmtId="180" fontId="0" fillId="0" borderId="0" xfId="93" applyNumberFormat="1" applyAlignment="1">
      <alignment horizontal="center" vertical="center" wrapText="1"/>
      <protection/>
    </xf>
    <xf numFmtId="180" fontId="0" fillId="0" borderId="0" xfId="93" applyNumberFormat="1" applyFill="1" applyAlignment="1">
      <alignment horizontal="center" vertical="center" wrapText="1"/>
      <protection/>
    </xf>
    <xf numFmtId="0" fontId="0" fillId="0" borderId="0" xfId="93" applyFill="1" applyAlignment="1">
      <alignment horizontal="center" vertical="center" wrapText="1"/>
      <protection/>
    </xf>
    <xf numFmtId="0" fontId="2" fillId="0" borderId="0" xfId="93" applyFont="1" applyAlignment="1">
      <alignment horizontal="center" vertical="center" wrapText="1"/>
      <protection/>
    </xf>
    <xf numFmtId="0" fontId="0" fillId="0" borderId="19" xfId="93" applyBorder="1" applyAlignment="1">
      <alignment horizontal="left" vertical="center" wrapText="1"/>
      <protection/>
    </xf>
    <xf numFmtId="0" fontId="0" fillId="0" borderId="11" xfId="93" applyBorder="1" applyAlignment="1">
      <alignment horizontal="center" vertical="center" wrapText="1"/>
      <protection/>
    </xf>
    <xf numFmtId="186" fontId="0" fillId="0" borderId="11" xfId="93" applyNumberFormat="1" applyBorder="1" applyAlignment="1">
      <alignment horizontal="center" vertical="center" wrapText="1"/>
      <protection/>
    </xf>
    <xf numFmtId="0" fontId="8" fillId="0" borderId="11" xfId="93" applyFont="1" applyBorder="1" applyAlignment="1">
      <alignment horizontal="center" vertical="center" wrapText="1"/>
      <protection/>
    </xf>
    <xf numFmtId="186" fontId="3" fillId="0" borderId="11" xfId="93" applyNumberFormat="1" applyFont="1" applyBorder="1" applyAlignment="1">
      <alignment horizontal="center" vertical="center" wrapText="1"/>
      <protection/>
    </xf>
    <xf numFmtId="0" fontId="3" fillId="0" borderId="11" xfId="93" applyFont="1" applyFill="1" applyBorder="1" applyAlignment="1">
      <alignment horizontal="center" vertical="center" wrapText="1"/>
      <protection/>
    </xf>
    <xf numFmtId="186" fontId="0" fillId="0" borderId="11" xfId="93" applyNumberFormat="1" applyFill="1" applyBorder="1" applyAlignment="1">
      <alignment horizontal="center" vertical="center" wrapText="1"/>
      <protection/>
    </xf>
    <xf numFmtId="0" fontId="0" fillId="0" borderId="16" xfId="93" applyBorder="1" applyAlignment="1">
      <alignment horizontal="left" vertical="center" wrapText="1"/>
      <protection/>
    </xf>
    <xf numFmtId="0" fontId="0" fillId="0" borderId="17" xfId="93" applyBorder="1" applyAlignment="1">
      <alignment horizontal="left" vertical="center" wrapText="1"/>
      <protection/>
    </xf>
    <xf numFmtId="0" fontId="0" fillId="0" borderId="18" xfId="93" applyBorder="1" applyAlignment="1">
      <alignment horizontal="left" vertical="center" wrapText="1"/>
      <protection/>
    </xf>
    <xf numFmtId="0" fontId="0" fillId="0" borderId="17" xfId="93" applyBorder="1" applyAlignment="1">
      <alignment horizontal="center" vertical="center" wrapText="1"/>
      <protection/>
    </xf>
    <xf numFmtId="0" fontId="3" fillId="0" borderId="0" xfId="93" applyFont="1" applyAlignment="1">
      <alignment horizontal="center" vertical="center" wrapText="1"/>
      <protection/>
    </xf>
    <xf numFmtId="188" fontId="0" fillId="0" borderId="11" xfId="93" applyNumberFormat="1" applyBorder="1" applyAlignment="1">
      <alignment horizontal="center" vertical="center" wrapText="1"/>
      <protection/>
    </xf>
    <xf numFmtId="180" fontId="0" fillId="0" borderId="11" xfId="93" applyNumberFormat="1" applyBorder="1" applyAlignment="1">
      <alignment horizontal="center" vertical="center" wrapText="1"/>
      <protection/>
    </xf>
    <xf numFmtId="188" fontId="0" fillId="0" borderId="11" xfId="93" applyNumberFormat="1" applyFill="1" applyBorder="1" applyAlignment="1">
      <alignment horizontal="center" vertical="center" wrapText="1"/>
      <protection/>
    </xf>
    <xf numFmtId="180" fontId="0" fillId="0" borderId="11" xfId="93" applyNumberFormat="1" applyFill="1" applyBorder="1" applyAlignment="1">
      <alignment horizontal="center" vertical="center" wrapText="1"/>
      <protection/>
    </xf>
    <xf numFmtId="182" fontId="0" fillId="0" borderId="11" xfId="93" applyNumberFormat="1" applyFill="1" applyBorder="1" applyAlignment="1">
      <alignment horizontal="center" vertical="center" wrapText="1"/>
      <protection/>
    </xf>
    <xf numFmtId="182" fontId="0" fillId="0" borderId="11" xfId="93" applyNumberFormat="1" applyBorder="1" applyAlignment="1">
      <alignment horizontal="center" vertical="center" wrapText="1"/>
      <protection/>
    </xf>
    <xf numFmtId="180" fontId="0" fillId="0" borderId="19" xfId="93" applyNumberFormat="1" applyFill="1" applyBorder="1" applyAlignment="1">
      <alignment horizontal="center" vertical="center" wrapText="1"/>
      <protection/>
    </xf>
    <xf numFmtId="180" fontId="3" fillId="0" borderId="11" xfId="93" applyNumberFormat="1" applyFont="1" applyBorder="1" applyAlignment="1">
      <alignment horizontal="center" vertical="center" wrapText="1"/>
      <protection/>
    </xf>
    <xf numFmtId="0" fontId="0" fillId="0" borderId="19" xfId="93" applyBorder="1" applyAlignment="1">
      <alignment horizontal="center" vertical="center" wrapText="1"/>
      <protection/>
    </xf>
    <xf numFmtId="0" fontId="3" fillId="0" borderId="11" xfId="93" applyFont="1" applyBorder="1" applyAlignment="1">
      <alignment horizontal="center" vertical="center" wrapText="1"/>
      <protection/>
    </xf>
    <xf numFmtId="49" fontId="0" fillId="0" borderId="11" xfId="93" applyNumberFormat="1" applyFill="1" applyBorder="1" applyAlignment="1">
      <alignment horizontal="center" vertical="center" wrapText="1"/>
      <protection/>
    </xf>
    <xf numFmtId="0" fontId="0" fillId="0" borderId="11" xfId="93" applyNumberFormat="1" applyFill="1" applyBorder="1" applyAlignment="1">
      <alignment horizontal="center" vertical="center" wrapText="1"/>
      <protection/>
    </xf>
    <xf numFmtId="181" fontId="0" fillId="0" borderId="11" xfId="93" applyNumberFormat="1" applyBorder="1" applyAlignment="1">
      <alignment horizontal="center" vertical="center" wrapText="1"/>
      <protection/>
    </xf>
    <xf numFmtId="0" fontId="0" fillId="0" borderId="22" xfId="93" applyBorder="1" applyAlignment="1">
      <alignment horizontal="left" vertical="center" wrapText="1"/>
      <protection/>
    </xf>
    <xf numFmtId="0" fontId="0" fillId="0" borderId="23" xfId="93" applyBorder="1" applyAlignment="1">
      <alignment horizontal="left" vertical="center" wrapText="1"/>
      <protection/>
    </xf>
    <xf numFmtId="0" fontId="0" fillId="0" borderId="0" xfId="93" applyFill="1" applyBorder="1" applyAlignment="1">
      <alignment vertical="center"/>
      <protection/>
    </xf>
    <xf numFmtId="177" fontId="0" fillId="0" borderId="14" xfId="93" applyNumberFormat="1" applyFill="1" applyBorder="1">
      <alignment/>
      <protection/>
    </xf>
    <xf numFmtId="177" fontId="0" fillId="0" borderId="11" xfId="93" applyNumberFormat="1" applyFill="1" applyBorder="1">
      <alignment/>
      <protection/>
    </xf>
    <xf numFmtId="0" fontId="0" fillId="0" borderId="16" xfId="93" applyFill="1" applyBorder="1" applyAlignment="1">
      <alignment horizontal="center"/>
      <protection/>
    </xf>
    <xf numFmtId="0" fontId="0" fillId="0" borderId="22" xfId="93" applyFill="1" applyBorder="1" applyAlignment="1">
      <alignment horizontal="center"/>
      <protection/>
    </xf>
    <xf numFmtId="0" fontId="0" fillId="0" borderId="10" xfId="93" applyFill="1" applyBorder="1">
      <alignment/>
      <protection/>
    </xf>
    <xf numFmtId="177" fontId="0" fillId="0" borderId="10" xfId="93" applyNumberFormat="1" applyFill="1" applyBorder="1">
      <alignment/>
      <protection/>
    </xf>
    <xf numFmtId="0" fontId="0" fillId="0" borderId="16" xfId="93" applyFill="1" applyBorder="1">
      <alignment/>
      <protection/>
    </xf>
    <xf numFmtId="0" fontId="0" fillId="0" borderId="17" xfId="93" applyFill="1" applyBorder="1" applyAlignment="1">
      <alignment horizontal="center"/>
      <protection/>
    </xf>
    <xf numFmtId="0" fontId="0" fillId="0" borderId="0" xfId="93" applyFill="1" applyBorder="1" applyAlignment="1">
      <alignment horizontal="center"/>
      <protection/>
    </xf>
    <xf numFmtId="0" fontId="0" fillId="0" borderId="18" xfId="93" applyFill="1" applyBorder="1" applyAlignment="1">
      <alignment horizontal="center"/>
      <protection/>
    </xf>
    <xf numFmtId="0" fontId="0" fillId="0" borderId="19" xfId="93" applyFill="1" applyBorder="1" applyAlignment="1">
      <alignment horizontal="center"/>
      <protection/>
    </xf>
    <xf numFmtId="0" fontId="3" fillId="0" borderId="0" xfId="93" applyFont="1" applyFill="1">
      <alignment/>
      <protection/>
    </xf>
    <xf numFmtId="176" fontId="0" fillId="0" borderId="11" xfId="93" applyNumberFormat="1" applyFont="1" applyFill="1" applyBorder="1" applyAlignment="1">
      <alignment horizontal="center" vertical="center" wrapText="1"/>
      <protection/>
    </xf>
    <xf numFmtId="178" fontId="0" fillId="0" borderId="11" xfId="93" applyNumberFormat="1" applyFont="1" applyFill="1" applyBorder="1" applyAlignment="1">
      <alignment horizontal="center" vertical="center" wrapText="1"/>
      <protection/>
    </xf>
    <xf numFmtId="176" fontId="6" fillId="0" borderId="11" xfId="93" applyNumberFormat="1" applyFont="1" applyFill="1" applyBorder="1" applyAlignment="1">
      <alignment horizontal="center" vertical="center" wrapText="1"/>
      <protection/>
    </xf>
    <xf numFmtId="178" fontId="6" fillId="0" borderId="11" xfId="93" applyNumberFormat="1" applyFont="1" applyFill="1" applyBorder="1" applyAlignment="1">
      <alignment horizontal="center" vertical="center" wrapText="1"/>
      <protection/>
    </xf>
    <xf numFmtId="176" fontId="0" fillId="0" borderId="14" xfId="93" applyNumberFormat="1" applyFill="1" applyBorder="1">
      <alignment/>
      <protection/>
    </xf>
    <xf numFmtId="176" fontId="0" fillId="0" borderId="11" xfId="79" applyNumberFormat="1" applyFont="1" applyFill="1" applyBorder="1" applyAlignment="1">
      <alignment horizontal="center" vertical="center"/>
      <protection/>
    </xf>
    <xf numFmtId="178" fontId="0" fillId="0" borderId="11" xfId="79" applyNumberFormat="1" applyFont="1" applyFill="1" applyBorder="1" applyAlignment="1">
      <alignment horizontal="center" vertical="center"/>
      <protection/>
    </xf>
    <xf numFmtId="176" fontId="0" fillId="0" borderId="11" xfId="93" applyNumberFormat="1" applyFill="1" applyBorder="1">
      <alignment/>
      <protection/>
    </xf>
    <xf numFmtId="178" fontId="0" fillId="0" borderId="11" xfId="93" applyNumberFormat="1" applyFill="1" applyBorder="1" applyAlignment="1">
      <alignment horizontal="center"/>
      <protection/>
    </xf>
    <xf numFmtId="176" fontId="0" fillId="0" borderId="10" xfId="93" applyNumberFormat="1" applyFill="1" applyBorder="1">
      <alignment/>
      <protection/>
    </xf>
    <xf numFmtId="178" fontId="0" fillId="0" borderId="10" xfId="93" applyNumberFormat="1" applyFill="1" applyBorder="1" applyAlignment="1">
      <alignment horizontal="center"/>
      <protection/>
    </xf>
    <xf numFmtId="0" fontId="0" fillId="0" borderId="0" xfId="93" applyFill="1" applyBorder="1" applyAlignment="1">
      <alignment horizontal="center" vertical="center"/>
      <protection/>
    </xf>
    <xf numFmtId="0" fontId="3" fillId="0" borderId="11" xfId="93" applyFont="1" applyFill="1" applyBorder="1" applyAlignment="1">
      <alignment horizontal="center"/>
      <protection/>
    </xf>
    <xf numFmtId="184" fontId="0" fillId="0" borderId="14" xfId="93" applyNumberFormat="1" applyFill="1" applyBorder="1">
      <alignment/>
      <protection/>
    </xf>
    <xf numFmtId="184" fontId="0" fillId="0" borderId="10" xfId="93" applyNumberFormat="1" applyFill="1" applyBorder="1">
      <alignment/>
      <protection/>
    </xf>
    <xf numFmtId="0" fontId="0" fillId="0" borderId="22" xfId="93" applyFill="1" applyBorder="1">
      <alignment/>
      <protection/>
    </xf>
    <xf numFmtId="0" fontId="0" fillId="0" borderId="30" xfId="93" applyFill="1" applyBorder="1">
      <alignment/>
      <protection/>
    </xf>
    <xf numFmtId="0" fontId="0" fillId="0" borderId="23" xfId="93" applyFill="1" applyBorder="1">
      <alignment/>
      <protection/>
    </xf>
    <xf numFmtId="0" fontId="0" fillId="0" borderId="10" xfId="93" applyBorder="1" applyAlignment="1">
      <alignment horizontal="center" vertical="center"/>
      <protection/>
    </xf>
    <xf numFmtId="0" fontId="0" fillId="0" borderId="12" xfId="93" applyBorder="1" applyAlignment="1">
      <alignment horizontal="center" vertical="center"/>
      <protection/>
    </xf>
    <xf numFmtId="0" fontId="0" fillId="0" borderId="13" xfId="93" applyBorder="1" applyAlignment="1">
      <alignment horizontal="center" vertical="center"/>
      <protection/>
    </xf>
    <xf numFmtId="0" fontId="3" fillId="0" borderId="12" xfId="93" applyFont="1" applyBorder="1" applyAlignment="1">
      <alignment horizontal="center" vertical="center"/>
      <protection/>
    </xf>
    <xf numFmtId="0" fontId="3" fillId="0" borderId="11" xfId="93" applyFont="1" applyBorder="1" applyAlignment="1">
      <alignment horizontal="center" vertical="center"/>
      <protection/>
    </xf>
    <xf numFmtId="0" fontId="8" fillId="0" borderId="14" xfId="93" applyFont="1" applyBorder="1" applyAlignment="1">
      <alignment horizontal="center" vertical="center"/>
      <protection/>
    </xf>
    <xf numFmtId="0" fontId="12" fillId="0" borderId="14" xfId="93" applyFont="1" applyBorder="1" applyAlignment="1">
      <alignment horizontal="center" vertical="center"/>
      <protection/>
    </xf>
    <xf numFmtId="177" fontId="8" fillId="0" borderId="14" xfId="93" applyNumberFormat="1" applyFont="1" applyFill="1" applyBorder="1" applyAlignment="1">
      <alignment horizontal="center" vertical="center"/>
      <protection/>
    </xf>
    <xf numFmtId="186" fontId="8" fillId="0" borderId="11" xfId="93" applyNumberFormat="1" applyFont="1" applyFill="1" applyBorder="1" applyAlignment="1">
      <alignment horizontal="center" vertical="center"/>
      <protection/>
    </xf>
    <xf numFmtId="0" fontId="12" fillId="0" borderId="11" xfId="93" applyFont="1" applyBorder="1" applyAlignment="1">
      <alignment horizontal="center" vertical="center"/>
      <protection/>
    </xf>
    <xf numFmtId="177" fontId="8" fillId="0" borderId="15" xfId="93" applyNumberFormat="1" applyFont="1" applyFill="1" applyBorder="1" applyAlignment="1">
      <alignment horizontal="center" vertical="center"/>
      <protection/>
    </xf>
    <xf numFmtId="177" fontId="8" fillId="0" borderId="11" xfId="93" applyNumberFormat="1" applyFont="1" applyFill="1" applyBorder="1" applyAlignment="1">
      <alignment horizontal="center" vertical="center"/>
      <protection/>
    </xf>
    <xf numFmtId="177" fontId="8" fillId="0" borderId="0" xfId="93" applyNumberFormat="1" applyFont="1" applyFill="1" applyAlignment="1">
      <alignment horizontal="center" vertical="center"/>
      <protection/>
    </xf>
    <xf numFmtId="186" fontId="8" fillId="0" borderId="14" xfId="93" applyNumberFormat="1" applyFont="1" applyFill="1" applyBorder="1" applyAlignment="1">
      <alignment horizontal="center" vertical="center"/>
      <protection/>
    </xf>
    <xf numFmtId="177" fontId="8" fillId="0" borderId="11" xfId="93" applyNumberFormat="1" applyFont="1" applyFill="1" applyBorder="1" applyAlignment="1">
      <alignment horizontal="center" vertical="center" wrapText="1"/>
      <protection/>
    </xf>
    <xf numFmtId="177" fontId="8" fillId="7" borderId="11" xfId="93" applyNumberFormat="1" applyFont="1" applyFill="1" applyBorder="1" applyAlignment="1">
      <alignment horizontal="center" vertical="center" wrapText="1"/>
      <protection/>
    </xf>
    <xf numFmtId="186" fontId="8" fillId="7" borderId="11" xfId="93" applyNumberFormat="1" applyFont="1" applyFill="1" applyBorder="1" applyAlignment="1">
      <alignment horizontal="center" vertical="center"/>
      <protection/>
    </xf>
    <xf numFmtId="177" fontId="8" fillId="7" borderId="11" xfId="93" applyNumberFormat="1" applyFont="1" applyFill="1" applyBorder="1" applyAlignment="1">
      <alignment horizontal="center" vertical="center"/>
      <protection/>
    </xf>
    <xf numFmtId="186" fontId="8" fillId="0" borderId="11" xfId="93" applyNumberFormat="1" applyFont="1" applyBorder="1" applyAlignment="1">
      <alignment horizontal="center" vertical="center"/>
      <protection/>
    </xf>
    <xf numFmtId="0" fontId="8" fillId="0" borderId="15" xfId="93" applyFont="1" applyBorder="1" applyAlignment="1">
      <alignment horizontal="center" vertical="center"/>
      <protection/>
    </xf>
    <xf numFmtId="0" fontId="8" fillId="0" borderId="15" xfId="93" applyFont="1" applyBorder="1" applyAlignment="1">
      <alignment horizontal="left" wrapText="1"/>
      <protection/>
    </xf>
    <xf numFmtId="0" fontId="8" fillId="0" borderId="21" xfId="93" applyFont="1" applyBorder="1" applyAlignment="1">
      <alignment horizontal="left" wrapText="1"/>
      <protection/>
    </xf>
    <xf numFmtId="0" fontId="0" fillId="0" borderId="20" xfId="93" applyBorder="1" applyAlignment="1">
      <alignment horizontal="center" vertical="center"/>
      <protection/>
    </xf>
    <xf numFmtId="0" fontId="0" fillId="0" borderId="18" xfId="93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center" vertical="center" wrapText="1"/>
      <protection/>
    </xf>
    <xf numFmtId="0" fontId="8" fillId="0" borderId="14" xfId="93" applyFont="1" applyFill="1" applyBorder="1" applyAlignment="1">
      <alignment horizontal="center" vertical="center"/>
      <protection/>
    </xf>
    <xf numFmtId="0" fontId="8" fillId="0" borderId="0" xfId="93" applyFont="1" applyFill="1" applyAlignment="1">
      <alignment horizontal="center" vertical="center"/>
      <protection/>
    </xf>
    <xf numFmtId="0" fontId="8" fillId="0" borderId="15" xfId="93" applyFont="1" applyFill="1" applyBorder="1" applyAlignment="1">
      <alignment horizontal="center" vertical="center"/>
      <protection/>
    </xf>
    <xf numFmtId="0" fontId="8" fillId="7" borderId="11" xfId="93" applyFont="1" applyFill="1" applyBorder="1" applyAlignment="1">
      <alignment horizontal="center" vertical="center"/>
      <protection/>
    </xf>
    <xf numFmtId="183" fontId="8" fillId="0" borderId="11" xfId="93" applyNumberFormat="1" applyFont="1" applyBorder="1" applyAlignment="1">
      <alignment horizontal="center" vertical="center"/>
      <protection/>
    </xf>
    <xf numFmtId="186" fontId="0" fillId="0" borderId="0" xfId="93" applyNumberFormat="1">
      <alignment/>
      <protection/>
    </xf>
    <xf numFmtId="0" fontId="0" fillId="0" borderId="15" xfId="93" applyBorder="1" applyAlignment="1">
      <alignment horizontal="center" vertical="center"/>
      <protection/>
    </xf>
    <xf numFmtId="0" fontId="0" fillId="0" borderId="21" xfId="93" applyBorder="1" applyAlignment="1">
      <alignment horizontal="center" vertical="center"/>
      <protection/>
    </xf>
    <xf numFmtId="0" fontId="3" fillId="0" borderId="14" xfId="93" applyFont="1" applyBorder="1" applyAlignment="1">
      <alignment horizontal="center" vertical="center"/>
      <protection/>
    </xf>
    <xf numFmtId="0" fontId="3" fillId="0" borderId="10" xfId="93" applyFont="1" applyBorder="1" applyAlignment="1">
      <alignment horizontal="center" vertical="center"/>
      <protection/>
    </xf>
    <xf numFmtId="0" fontId="11" fillId="0" borderId="14" xfId="93" applyFont="1" applyBorder="1" applyAlignment="1">
      <alignment horizontal="center" vertical="center" wrapText="1"/>
      <protection/>
    </xf>
    <xf numFmtId="176" fontId="11" fillId="7" borderId="11" xfId="93" applyNumberFormat="1" applyFont="1" applyFill="1" applyBorder="1" applyAlignment="1">
      <alignment horizontal="center" vertical="center" wrapText="1"/>
      <protection/>
    </xf>
    <xf numFmtId="0" fontId="11" fillId="7" borderId="14" xfId="93" applyFont="1" applyFill="1" applyBorder="1" applyAlignment="1">
      <alignment horizontal="center" vertical="center"/>
      <protection/>
    </xf>
    <xf numFmtId="0" fontId="11" fillId="7" borderId="14" xfId="93" applyFont="1" applyFill="1" applyBorder="1" applyAlignment="1">
      <alignment horizontal="center" vertical="center" wrapText="1"/>
      <protection/>
    </xf>
    <xf numFmtId="176" fontId="8" fillId="7" borderId="11" xfId="93" applyNumberFormat="1" applyFont="1" applyFill="1" applyBorder="1" applyAlignment="1">
      <alignment horizontal="center" vertical="center"/>
      <protection/>
    </xf>
    <xf numFmtId="0" fontId="8" fillId="0" borderId="12" xfId="93" applyFont="1" applyBorder="1" applyAlignment="1">
      <alignment horizontal="left" wrapText="1"/>
      <protection/>
    </xf>
    <xf numFmtId="189" fontId="1" fillId="0" borderId="0" xfId="0" applyNumberFormat="1" applyFont="1" applyFill="1" applyBorder="1" applyAlignment="1" applyProtection="1">
      <alignment/>
      <protection/>
    </xf>
    <xf numFmtId="189" fontId="21" fillId="0" borderId="0" xfId="0" applyNumberFormat="1" applyFont="1" applyFill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horizontal="center" vertical="center" wrapText="1"/>
      <protection/>
    </xf>
    <xf numFmtId="189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8" fillId="7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94" applyFont="1" applyFill="1" applyBorder="1" applyAlignment="1">
      <alignment horizontal="center" vertical="center" wrapText="1"/>
      <protection/>
    </xf>
    <xf numFmtId="0" fontId="8" fillId="0" borderId="11" xfId="8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178" fontId="8" fillId="7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/>
    </xf>
    <xf numFmtId="0" fontId="8" fillId="0" borderId="11" xfId="94" applyFont="1" applyFill="1" applyBorder="1" applyAlignment="1">
      <alignment horizontal="center" vertical="center"/>
      <protection/>
    </xf>
    <xf numFmtId="10" fontId="8" fillId="0" borderId="10" xfId="0" applyNumberFormat="1" applyFont="1" applyBorder="1" applyAlignment="1">
      <alignment horizontal="center" vertical="center"/>
    </xf>
    <xf numFmtId="10" fontId="8" fillId="0" borderId="1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93" applyNumberFormat="1" applyFont="1" applyBorder="1" applyAlignment="1" quotePrefix="1">
      <alignment horizontal="center" vertical="center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好_宁陕局" xfId="28"/>
    <cellStyle name="百分比 2" xfId="29"/>
    <cellStyle name="常规_①10KV配网运行资产管理年报模板" xfId="30"/>
    <cellStyle name="注释" xfId="31"/>
    <cellStyle name="常规 6" xfId="32"/>
    <cellStyle name="60% - 强调文字颜色 2" xfId="33"/>
    <cellStyle name="标题 4" xfId="34"/>
    <cellStyle name="警告文本" xfId="35"/>
    <cellStyle name="好_延川" xfId="36"/>
    <cellStyle name="_ET_STYLE_NoName_00_" xfId="37"/>
    <cellStyle name="标题" xfId="38"/>
    <cellStyle name="解释性文本" xfId="39"/>
    <cellStyle name="常规_配网负荷统计" xfId="40"/>
    <cellStyle name="常规 3 2 2" xfId="41"/>
    <cellStyle name="常规 8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20% - 强调文字颜色 2" xfId="62"/>
    <cellStyle name="常规_配网决算统计表_设备定级年报" xfId="63"/>
    <cellStyle name="常规_变电月报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常规 10" xfId="74"/>
    <cellStyle name="40% - 强调文字颜色 6" xfId="75"/>
    <cellStyle name="60% - 强调文字颜色 6" xfId="76"/>
    <cellStyle name="常规 18" xfId="77"/>
    <cellStyle name="常规 11" xfId="78"/>
    <cellStyle name="常规_配网决算统计表" xfId="79"/>
    <cellStyle name="差_宁陕局" xfId="80"/>
    <cellStyle name="差_延川" xfId="81"/>
    <cellStyle name="常规_变电月报_13" xfId="82"/>
    <cellStyle name="常规_Sheet1 3" xfId="83"/>
    <cellStyle name="常规_配网运行资产年报" xfId="84"/>
    <cellStyle name="常规 14" xfId="85"/>
    <cellStyle name="常规 10 2 2" xfId="86"/>
    <cellStyle name="常规 15" xfId="87"/>
    <cellStyle name="常规 17" xfId="88"/>
    <cellStyle name="常规 2" xfId="89"/>
    <cellStyle name="常规 27" xfId="90"/>
    <cellStyle name="常规 3" xfId="91"/>
    <cellStyle name="常规 4" xfId="92"/>
    <cellStyle name="常规 5" xfId="93"/>
    <cellStyle name="常规_Sheet1" xfId="94"/>
    <cellStyle name="常规_泾阳县上报2009年1月份月报表" xfId="95"/>
    <cellStyle name="样式 1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78;&#25253;&#20998;&#20844;&#21496;&#21508;&#31867;&#25253;&#34920;\2012&#24180;&#37197;&#32593;&#24180;&#25253;&#65288;&#20998;&#20844;&#21496;&#65289;\&#9312;10KV&#37197;&#32593;&#36816;&#34892;&#36164;&#20135;&#31649;&#29702;&#24180;&#25253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宁陕局"/>
      <sheetName val="石泉局"/>
      <sheetName val="汉阴局"/>
      <sheetName val="紫阳局"/>
      <sheetName val="平利局"/>
      <sheetName val="镇坪局"/>
      <sheetName val="岚皋局"/>
    </sheetNames>
    <sheetDataSet>
      <sheetData sheetId="0">
        <row r="1">
          <cell r="A1" t="str">
            <v>2012年度10kV配网运行资产管理年报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workbookViewId="0" topLeftCell="A1">
      <selection activeCell="A1" sqref="A1:H70"/>
    </sheetView>
  </sheetViews>
  <sheetFormatPr defaultColWidth="8.625" defaultRowHeight="14.25"/>
  <cols>
    <col min="1" max="1" width="4.50390625" style="0" customWidth="1"/>
    <col min="2" max="2" width="7.25390625" style="0" customWidth="1"/>
    <col min="3" max="6" width="12.625" style="0" customWidth="1"/>
    <col min="7" max="7" width="11.125" style="0" customWidth="1"/>
    <col min="8" max="8" width="12.625" style="0" customWidth="1"/>
  </cols>
  <sheetData>
    <row r="1" spans="1:8" ht="17.25">
      <c r="A1" s="924" t="s">
        <v>0</v>
      </c>
      <c r="B1" s="924"/>
      <c r="C1" s="924"/>
      <c r="D1" s="924"/>
      <c r="E1" s="924"/>
      <c r="F1" s="924"/>
      <c r="G1" s="924"/>
      <c r="H1" s="924"/>
    </row>
    <row r="2" spans="1:8" ht="15">
      <c r="A2" s="925" t="s">
        <v>1</v>
      </c>
      <c r="B2" s="925" t="s">
        <v>2</v>
      </c>
      <c r="C2" s="926" t="s">
        <v>3</v>
      </c>
      <c r="D2" s="926" t="s">
        <v>4</v>
      </c>
      <c r="E2" s="927" t="s">
        <v>5</v>
      </c>
      <c r="F2" s="928" t="s">
        <v>6</v>
      </c>
      <c r="G2" s="927" t="s">
        <v>7</v>
      </c>
      <c r="H2" s="940" t="s">
        <v>8</v>
      </c>
    </row>
    <row r="3" spans="1:8" ht="15">
      <c r="A3" s="925"/>
      <c r="B3" s="925"/>
      <c r="C3" s="926"/>
      <c r="D3" s="926"/>
      <c r="E3" s="927"/>
      <c r="F3" s="928"/>
      <c r="G3" s="927"/>
      <c r="H3" s="941"/>
    </row>
    <row r="4" spans="1:8" ht="15">
      <c r="A4" s="931">
        <v>1</v>
      </c>
      <c r="B4" s="931" t="s">
        <v>9</v>
      </c>
      <c r="C4" s="932" t="s">
        <v>10</v>
      </c>
      <c r="D4" s="933" t="s">
        <v>11</v>
      </c>
      <c r="E4" s="934">
        <v>3035</v>
      </c>
      <c r="F4" s="935">
        <v>5923.8</v>
      </c>
      <c r="G4" s="934">
        <f aca="true" t="shared" si="0" ref="G4:G67">F4-E4</f>
        <v>2888.8</v>
      </c>
      <c r="H4" s="936">
        <f aca="true" t="shared" si="1" ref="H4:H67">E4/F4</f>
        <v>0.5123400519936527</v>
      </c>
    </row>
    <row r="5" spans="1:8" ht="15">
      <c r="A5" s="931">
        <v>2</v>
      </c>
      <c r="B5" s="931" t="s">
        <v>9</v>
      </c>
      <c r="C5" s="932" t="s">
        <v>10</v>
      </c>
      <c r="D5" s="933" t="s">
        <v>12</v>
      </c>
      <c r="E5" s="934">
        <v>2200</v>
      </c>
      <c r="F5" s="935">
        <v>3504.915</v>
      </c>
      <c r="G5" s="934">
        <f t="shared" si="0"/>
        <v>1304.915</v>
      </c>
      <c r="H5" s="936">
        <f t="shared" si="1"/>
        <v>0.6276899725100323</v>
      </c>
    </row>
    <row r="6" spans="1:8" ht="15">
      <c r="A6" s="931">
        <v>3</v>
      </c>
      <c r="B6" s="931" t="s">
        <v>9</v>
      </c>
      <c r="C6" s="932" t="s">
        <v>10</v>
      </c>
      <c r="D6" s="933" t="s">
        <v>13</v>
      </c>
      <c r="E6" s="934">
        <v>1265</v>
      </c>
      <c r="F6" s="935">
        <v>3504.915</v>
      </c>
      <c r="G6" s="934">
        <f t="shared" si="0"/>
        <v>2239.915</v>
      </c>
      <c r="H6" s="936">
        <f t="shared" si="1"/>
        <v>0.3609217341932686</v>
      </c>
    </row>
    <row r="7" spans="1:8" ht="15">
      <c r="A7" s="931">
        <v>4</v>
      </c>
      <c r="B7" s="931" t="s">
        <v>9</v>
      </c>
      <c r="C7" s="932" t="s">
        <v>10</v>
      </c>
      <c r="D7" s="933" t="s">
        <v>14</v>
      </c>
      <c r="E7" s="934">
        <v>1556</v>
      </c>
      <c r="F7" s="935">
        <v>4344.12</v>
      </c>
      <c r="G7" s="934">
        <f t="shared" si="0"/>
        <v>2788.12</v>
      </c>
      <c r="H7" s="936">
        <f t="shared" si="1"/>
        <v>0.3581853171643509</v>
      </c>
    </row>
    <row r="8" spans="1:8" ht="15">
      <c r="A8" s="931">
        <v>5</v>
      </c>
      <c r="B8" s="931" t="s">
        <v>9</v>
      </c>
      <c r="C8" s="932" t="s">
        <v>10</v>
      </c>
      <c r="D8" s="933" t="s">
        <v>15</v>
      </c>
      <c r="E8" s="934">
        <v>1975</v>
      </c>
      <c r="F8" s="935">
        <v>4344.12</v>
      </c>
      <c r="G8" s="934">
        <f t="shared" si="0"/>
        <v>2369.12</v>
      </c>
      <c r="H8" s="936">
        <f t="shared" si="1"/>
        <v>0.45463753303315746</v>
      </c>
    </row>
    <row r="9" spans="1:8" ht="15">
      <c r="A9" s="931">
        <v>6</v>
      </c>
      <c r="B9" s="931" t="s">
        <v>9</v>
      </c>
      <c r="C9" s="932" t="s">
        <v>10</v>
      </c>
      <c r="D9" s="933" t="s">
        <v>16</v>
      </c>
      <c r="E9" s="934">
        <v>2356</v>
      </c>
      <c r="F9" s="935">
        <v>4344.12</v>
      </c>
      <c r="G9" s="934">
        <f t="shared" si="0"/>
        <v>1988.12</v>
      </c>
      <c r="H9" s="936">
        <f t="shared" si="1"/>
        <v>0.5423422925701868</v>
      </c>
    </row>
    <row r="10" spans="1:8" ht="15">
      <c r="A10" s="931">
        <v>7</v>
      </c>
      <c r="B10" s="931" t="s">
        <v>9</v>
      </c>
      <c r="C10" s="932" t="s">
        <v>10</v>
      </c>
      <c r="D10" s="933" t="s">
        <v>17</v>
      </c>
      <c r="E10" s="934">
        <v>4025</v>
      </c>
      <c r="F10" s="935">
        <v>7048</v>
      </c>
      <c r="G10" s="934">
        <f t="shared" si="0"/>
        <v>3023</v>
      </c>
      <c r="H10" s="936">
        <f t="shared" si="1"/>
        <v>0.5710839954597049</v>
      </c>
    </row>
    <row r="11" spans="1:8" ht="15">
      <c r="A11" s="931">
        <v>8</v>
      </c>
      <c r="B11" s="931" t="s">
        <v>9</v>
      </c>
      <c r="C11" s="932" t="s">
        <v>10</v>
      </c>
      <c r="D11" s="937" t="s">
        <v>18</v>
      </c>
      <c r="E11" s="934">
        <v>3696</v>
      </c>
      <c r="F11" s="935">
        <v>7048</v>
      </c>
      <c r="G11" s="934">
        <f t="shared" si="0"/>
        <v>3352</v>
      </c>
      <c r="H11" s="936">
        <f t="shared" si="1"/>
        <v>0.5244040862656073</v>
      </c>
    </row>
    <row r="12" spans="1:8" ht="15">
      <c r="A12" s="931">
        <v>9</v>
      </c>
      <c r="B12" s="931" t="s">
        <v>9</v>
      </c>
      <c r="C12" s="932" t="s">
        <v>10</v>
      </c>
      <c r="D12" s="937" t="s">
        <v>19</v>
      </c>
      <c r="E12" s="934">
        <v>2156</v>
      </c>
      <c r="F12" s="935">
        <v>4344.12</v>
      </c>
      <c r="G12" s="934">
        <f t="shared" si="0"/>
        <v>2188.12</v>
      </c>
      <c r="H12" s="936">
        <f t="shared" si="1"/>
        <v>0.4963030487187279</v>
      </c>
    </row>
    <row r="13" spans="1:8" ht="15">
      <c r="A13" s="931">
        <v>10</v>
      </c>
      <c r="B13" s="931" t="s">
        <v>9</v>
      </c>
      <c r="C13" s="932" t="s">
        <v>10</v>
      </c>
      <c r="D13" s="937" t="s">
        <v>20</v>
      </c>
      <c r="E13" s="934">
        <v>3806</v>
      </c>
      <c r="F13" s="935">
        <v>6006.075</v>
      </c>
      <c r="G13" s="934">
        <f t="shared" si="0"/>
        <v>2200.075</v>
      </c>
      <c r="H13" s="936">
        <f t="shared" si="1"/>
        <v>0.6336917204663611</v>
      </c>
    </row>
    <row r="14" spans="1:8" ht="15">
      <c r="A14" s="931">
        <v>11</v>
      </c>
      <c r="B14" s="931" t="s">
        <v>9</v>
      </c>
      <c r="C14" s="932" t="s">
        <v>21</v>
      </c>
      <c r="D14" s="937" t="s">
        <v>22</v>
      </c>
      <c r="E14" s="934">
        <v>876</v>
      </c>
      <c r="F14" s="935">
        <v>3504.915</v>
      </c>
      <c r="G14" s="934">
        <f t="shared" si="0"/>
        <v>2628.915</v>
      </c>
      <c r="H14" s="936">
        <f t="shared" si="1"/>
        <v>0.24993473450854015</v>
      </c>
    </row>
    <row r="15" spans="1:8" ht="15">
      <c r="A15" s="931">
        <v>12</v>
      </c>
      <c r="B15" s="931" t="s">
        <v>9</v>
      </c>
      <c r="C15" s="932" t="s">
        <v>21</v>
      </c>
      <c r="D15" s="937" t="s">
        <v>23</v>
      </c>
      <c r="E15" s="934">
        <v>536</v>
      </c>
      <c r="F15" s="935">
        <v>3504.915</v>
      </c>
      <c r="G15" s="934">
        <f t="shared" si="0"/>
        <v>2968.915</v>
      </c>
      <c r="H15" s="936">
        <f t="shared" si="1"/>
        <v>0.15292810239335333</v>
      </c>
    </row>
    <row r="16" spans="1:8" ht="15">
      <c r="A16" s="931">
        <v>13</v>
      </c>
      <c r="B16" s="931" t="s">
        <v>9</v>
      </c>
      <c r="C16" s="932" t="s">
        <v>24</v>
      </c>
      <c r="D16" s="933" t="s">
        <v>25</v>
      </c>
      <c r="E16" s="934">
        <v>5368</v>
      </c>
      <c r="F16" s="935">
        <v>9691.995</v>
      </c>
      <c r="G16" s="934">
        <f t="shared" si="0"/>
        <v>4323.995000000001</v>
      </c>
      <c r="H16" s="936">
        <f t="shared" si="1"/>
        <v>0.5538591383920441</v>
      </c>
    </row>
    <row r="17" spans="1:8" ht="15">
      <c r="A17" s="931">
        <v>14</v>
      </c>
      <c r="B17" s="931" t="s">
        <v>9</v>
      </c>
      <c r="C17" s="932" t="s">
        <v>24</v>
      </c>
      <c r="D17" s="933" t="s">
        <v>26</v>
      </c>
      <c r="E17" s="934">
        <v>56</v>
      </c>
      <c r="F17" s="935">
        <v>9691.995</v>
      </c>
      <c r="G17" s="934">
        <f t="shared" si="0"/>
        <v>9635.995</v>
      </c>
      <c r="H17" s="936">
        <f t="shared" si="1"/>
        <v>0.005777964185908061</v>
      </c>
    </row>
    <row r="18" spans="1:8" ht="15">
      <c r="A18" s="931">
        <v>15</v>
      </c>
      <c r="B18" s="931" t="s">
        <v>9</v>
      </c>
      <c r="C18" s="932" t="s">
        <v>24</v>
      </c>
      <c r="D18" s="933" t="s">
        <v>27</v>
      </c>
      <c r="E18" s="934">
        <v>436</v>
      </c>
      <c r="F18" s="935">
        <v>9691.995</v>
      </c>
      <c r="G18" s="934">
        <f t="shared" si="0"/>
        <v>9255.995</v>
      </c>
      <c r="H18" s="936">
        <f t="shared" si="1"/>
        <v>0.0449855783045699</v>
      </c>
    </row>
    <row r="19" spans="1:8" ht="15">
      <c r="A19" s="931">
        <v>16</v>
      </c>
      <c r="B19" s="931" t="s">
        <v>9</v>
      </c>
      <c r="C19" s="932" t="s">
        <v>24</v>
      </c>
      <c r="D19" s="933" t="s">
        <v>28</v>
      </c>
      <c r="E19" s="934">
        <v>56</v>
      </c>
      <c r="F19" s="935">
        <v>9691.995</v>
      </c>
      <c r="G19" s="934">
        <f t="shared" si="0"/>
        <v>9635.995</v>
      </c>
      <c r="H19" s="936">
        <f t="shared" si="1"/>
        <v>0.005777964185908061</v>
      </c>
    </row>
    <row r="20" spans="1:8" ht="15">
      <c r="A20" s="931">
        <v>17</v>
      </c>
      <c r="B20" s="931" t="s">
        <v>9</v>
      </c>
      <c r="C20" s="932" t="s">
        <v>24</v>
      </c>
      <c r="D20" s="933" t="s">
        <v>29</v>
      </c>
      <c r="E20" s="934">
        <v>1056</v>
      </c>
      <c r="F20" s="935">
        <v>4344.12</v>
      </c>
      <c r="G20" s="934">
        <f t="shared" si="0"/>
        <v>3288.12</v>
      </c>
      <c r="H20" s="936">
        <f t="shared" si="1"/>
        <v>0.24308720753570345</v>
      </c>
    </row>
    <row r="21" spans="1:8" ht="15">
      <c r="A21" s="931">
        <v>18</v>
      </c>
      <c r="B21" s="931" t="s">
        <v>9</v>
      </c>
      <c r="C21" s="932" t="s">
        <v>24</v>
      </c>
      <c r="D21" s="933" t="s">
        <v>30</v>
      </c>
      <c r="E21" s="934">
        <v>1152</v>
      </c>
      <c r="F21" s="935">
        <v>4344.12</v>
      </c>
      <c r="G21" s="934">
        <f t="shared" si="0"/>
        <v>3192.12</v>
      </c>
      <c r="H21" s="936">
        <f t="shared" si="1"/>
        <v>0.26518604458440376</v>
      </c>
    </row>
    <row r="22" spans="1:8" ht="15">
      <c r="A22" s="931">
        <v>19</v>
      </c>
      <c r="B22" s="931" t="s">
        <v>9</v>
      </c>
      <c r="C22" s="932" t="s">
        <v>31</v>
      </c>
      <c r="D22" s="933" t="s">
        <v>32</v>
      </c>
      <c r="E22" s="934">
        <v>56</v>
      </c>
      <c r="F22" s="935">
        <v>4344.12</v>
      </c>
      <c r="G22" s="934">
        <f t="shared" si="0"/>
        <v>4288.12</v>
      </c>
      <c r="H22" s="936">
        <f t="shared" si="1"/>
        <v>0.012890988278408516</v>
      </c>
    </row>
    <row r="23" spans="1:8" ht="15">
      <c r="A23" s="931">
        <v>20</v>
      </c>
      <c r="B23" s="931" t="s">
        <v>9</v>
      </c>
      <c r="C23" s="932" t="s">
        <v>31</v>
      </c>
      <c r="D23" s="933" t="s">
        <v>33</v>
      </c>
      <c r="E23" s="934">
        <v>56</v>
      </c>
      <c r="F23" s="935">
        <v>4344.12</v>
      </c>
      <c r="G23" s="934">
        <f t="shared" si="0"/>
        <v>4288.12</v>
      </c>
      <c r="H23" s="936">
        <f t="shared" si="1"/>
        <v>0.012890988278408516</v>
      </c>
    </row>
    <row r="24" spans="1:8" ht="15">
      <c r="A24" s="931">
        <v>21</v>
      </c>
      <c r="B24" s="931" t="s">
        <v>9</v>
      </c>
      <c r="C24" s="932" t="s">
        <v>31</v>
      </c>
      <c r="D24" s="933" t="s">
        <v>34</v>
      </c>
      <c r="E24" s="934">
        <v>3656</v>
      </c>
      <c r="F24" s="935">
        <v>9691.995</v>
      </c>
      <c r="G24" s="934">
        <f t="shared" si="0"/>
        <v>6035.995000000001</v>
      </c>
      <c r="H24" s="936">
        <f t="shared" si="1"/>
        <v>0.3772185189942834</v>
      </c>
    </row>
    <row r="25" spans="1:8" ht="15">
      <c r="A25" s="931">
        <v>22</v>
      </c>
      <c r="B25" s="931" t="s">
        <v>9</v>
      </c>
      <c r="C25" s="932" t="s">
        <v>31</v>
      </c>
      <c r="D25" s="933" t="s">
        <v>35</v>
      </c>
      <c r="E25" s="934">
        <v>786</v>
      </c>
      <c r="F25" s="935">
        <v>9691.995</v>
      </c>
      <c r="G25" s="934">
        <f t="shared" si="0"/>
        <v>8905.995</v>
      </c>
      <c r="H25" s="936">
        <f t="shared" si="1"/>
        <v>0.08109785446649528</v>
      </c>
    </row>
    <row r="26" spans="1:8" ht="15">
      <c r="A26" s="931">
        <v>23</v>
      </c>
      <c r="B26" s="931" t="s">
        <v>9</v>
      </c>
      <c r="C26" s="932" t="s">
        <v>31</v>
      </c>
      <c r="D26" s="933" t="s">
        <v>36</v>
      </c>
      <c r="E26" s="934">
        <v>886</v>
      </c>
      <c r="F26" s="935">
        <v>4344.12</v>
      </c>
      <c r="G26" s="934">
        <f t="shared" si="0"/>
        <v>3458.12</v>
      </c>
      <c r="H26" s="936">
        <f t="shared" si="1"/>
        <v>0.2039538502619633</v>
      </c>
    </row>
    <row r="27" spans="1:8" ht="15">
      <c r="A27" s="931">
        <v>24</v>
      </c>
      <c r="B27" s="931" t="s">
        <v>9</v>
      </c>
      <c r="C27" s="932" t="s">
        <v>37</v>
      </c>
      <c r="D27" s="937" t="s">
        <v>38</v>
      </c>
      <c r="E27" s="934">
        <v>2456</v>
      </c>
      <c r="F27" s="935">
        <v>4344.12</v>
      </c>
      <c r="G27" s="934">
        <f t="shared" si="0"/>
        <v>1888.12</v>
      </c>
      <c r="H27" s="936">
        <f t="shared" si="1"/>
        <v>0.5653619144959163</v>
      </c>
    </row>
    <row r="28" spans="1:8" ht="15">
      <c r="A28" s="931">
        <v>25</v>
      </c>
      <c r="B28" s="931" t="s">
        <v>9</v>
      </c>
      <c r="C28" s="932" t="s">
        <v>37</v>
      </c>
      <c r="D28" s="937" t="s">
        <v>39</v>
      </c>
      <c r="E28" s="934">
        <v>985</v>
      </c>
      <c r="F28" s="935">
        <v>3504.915</v>
      </c>
      <c r="G28" s="934">
        <f t="shared" si="0"/>
        <v>2519.915</v>
      </c>
      <c r="H28" s="936">
        <f t="shared" si="1"/>
        <v>0.2810339195101736</v>
      </c>
    </row>
    <row r="29" spans="1:8" ht="15">
      <c r="A29" s="931">
        <v>26</v>
      </c>
      <c r="B29" s="931" t="s">
        <v>9</v>
      </c>
      <c r="C29" s="932" t="s">
        <v>37</v>
      </c>
      <c r="D29" s="937" t="s">
        <v>40</v>
      </c>
      <c r="E29" s="934">
        <v>586</v>
      </c>
      <c r="F29" s="935">
        <v>5298.51</v>
      </c>
      <c r="G29" s="934">
        <f t="shared" si="0"/>
        <v>4712.51</v>
      </c>
      <c r="H29" s="936">
        <f t="shared" si="1"/>
        <v>0.11059713013658556</v>
      </c>
    </row>
    <row r="30" spans="1:8" ht="15">
      <c r="A30" s="931">
        <v>27</v>
      </c>
      <c r="B30" s="931" t="s">
        <v>9</v>
      </c>
      <c r="C30" s="932" t="s">
        <v>37</v>
      </c>
      <c r="D30" s="937" t="s">
        <v>41</v>
      </c>
      <c r="E30" s="934">
        <v>486</v>
      </c>
      <c r="F30" s="935">
        <v>6006.075</v>
      </c>
      <c r="G30" s="934">
        <f t="shared" si="0"/>
        <v>5520.075</v>
      </c>
      <c r="H30" s="936">
        <f t="shared" si="1"/>
        <v>0.08091807045366567</v>
      </c>
    </row>
    <row r="31" spans="1:8" ht="15">
      <c r="A31" s="931">
        <v>28</v>
      </c>
      <c r="B31" s="931" t="s">
        <v>9</v>
      </c>
      <c r="C31" s="932" t="s">
        <v>42</v>
      </c>
      <c r="D31" s="937" t="s">
        <v>43</v>
      </c>
      <c r="E31" s="934">
        <v>776</v>
      </c>
      <c r="F31" s="935">
        <v>4344.12</v>
      </c>
      <c r="G31" s="934">
        <f t="shared" si="0"/>
        <v>3568.12</v>
      </c>
      <c r="H31" s="936">
        <f t="shared" si="1"/>
        <v>0.17863226614366087</v>
      </c>
    </row>
    <row r="32" spans="1:8" ht="15">
      <c r="A32" s="931">
        <v>29</v>
      </c>
      <c r="B32" s="931" t="s">
        <v>9</v>
      </c>
      <c r="C32" s="932" t="s">
        <v>42</v>
      </c>
      <c r="D32" s="937" t="s">
        <v>44</v>
      </c>
      <c r="E32" s="934">
        <v>1971</v>
      </c>
      <c r="F32" s="935">
        <v>3504.915</v>
      </c>
      <c r="G32" s="934">
        <f t="shared" si="0"/>
        <v>1533.915</v>
      </c>
      <c r="H32" s="936">
        <f t="shared" si="1"/>
        <v>0.5623531526442154</v>
      </c>
    </row>
    <row r="33" spans="1:8" ht="15">
      <c r="A33" s="931">
        <v>30</v>
      </c>
      <c r="B33" s="931" t="s">
        <v>9</v>
      </c>
      <c r="C33" s="932" t="s">
        <v>42</v>
      </c>
      <c r="D33" s="937" t="s">
        <v>45</v>
      </c>
      <c r="E33" s="934">
        <v>3566</v>
      </c>
      <c r="F33" s="935">
        <v>6006.075</v>
      </c>
      <c r="G33" s="934">
        <f t="shared" si="0"/>
        <v>2440.075</v>
      </c>
      <c r="H33" s="936">
        <f t="shared" si="1"/>
        <v>0.593732179501588</v>
      </c>
    </row>
    <row r="34" spans="1:8" ht="15">
      <c r="A34" s="931">
        <v>31</v>
      </c>
      <c r="B34" s="931" t="s">
        <v>9</v>
      </c>
      <c r="C34" s="932" t="s">
        <v>42</v>
      </c>
      <c r="D34" s="937" t="s">
        <v>46</v>
      </c>
      <c r="E34" s="934">
        <v>1656</v>
      </c>
      <c r="F34" s="935">
        <v>4344.12</v>
      </c>
      <c r="G34" s="934">
        <f t="shared" si="0"/>
        <v>2688.12</v>
      </c>
      <c r="H34" s="936">
        <f t="shared" si="1"/>
        <v>0.3812049390900804</v>
      </c>
    </row>
    <row r="35" spans="1:8" ht="15">
      <c r="A35" s="931">
        <v>32</v>
      </c>
      <c r="B35" s="931" t="s">
        <v>9</v>
      </c>
      <c r="C35" s="932" t="s">
        <v>42</v>
      </c>
      <c r="D35" s="937" t="s">
        <v>47</v>
      </c>
      <c r="E35" s="934">
        <v>1956</v>
      </c>
      <c r="F35" s="935">
        <v>5298.51</v>
      </c>
      <c r="G35" s="934">
        <f t="shared" si="0"/>
        <v>3342.51</v>
      </c>
      <c r="H35" s="936">
        <f t="shared" si="1"/>
        <v>0.3691603865992515</v>
      </c>
    </row>
    <row r="36" spans="1:8" ht="15">
      <c r="A36" s="931">
        <v>33</v>
      </c>
      <c r="B36" s="931" t="s">
        <v>9</v>
      </c>
      <c r="C36" s="932" t="s">
        <v>42</v>
      </c>
      <c r="D36" s="937" t="s">
        <v>48</v>
      </c>
      <c r="E36" s="934">
        <v>3056</v>
      </c>
      <c r="F36" s="935">
        <v>7042.74</v>
      </c>
      <c r="G36" s="934">
        <f t="shared" si="0"/>
        <v>3986.74</v>
      </c>
      <c r="H36" s="936">
        <f t="shared" si="1"/>
        <v>0.43392202466653607</v>
      </c>
    </row>
    <row r="37" spans="1:8" ht="15">
      <c r="A37" s="931">
        <v>34</v>
      </c>
      <c r="B37" s="931" t="s">
        <v>9</v>
      </c>
      <c r="C37" s="932" t="s">
        <v>42</v>
      </c>
      <c r="D37" s="937" t="s">
        <v>49</v>
      </c>
      <c r="E37" s="934">
        <v>2556</v>
      </c>
      <c r="F37" s="935">
        <v>4344.12</v>
      </c>
      <c r="G37" s="934">
        <f t="shared" si="0"/>
        <v>1788.12</v>
      </c>
      <c r="H37" s="936">
        <f t="shared" si="1"/>
        <v>0.5883815364216458</v>
      </c>
    </row>
    <row r="38" spans="1:8" ht="15">
      <c r="A38" s="931">
        <v>35</v>
      </c>
      <c r="B38" s="931" t="s">
        <v>9</v>
      </c>
      <c r="C38" s="932" t="s">
        <v>42</v>
      </c>
      <c r="D38" s="937" t="s">
        <v>50</v>
      </c>
      <c r="E38" s="934">
        <v>2956</v>
      </c>
      <c r="F38" s="935">
        <v>5298.51</v>
      </c>
      <c r="G38" s="934">
        <f t="shared" si="0"/>
        <v>2342.51</v>
      </c>
      <c r="H38" s="936">
        <f t="shared" si="1"/>
        <v>0.5578926905865988</v>
      </c>
    </row>
    <row r="39" spans="1:8" ht="15">
      <c r="A39" s="931">
        <v>36</v>
      </c>
      <c r="B39" s="931" t="s">
        <v>9</v>
      </c>
      <c r="C39" s="932" t="s">
        <v>42</v>
      </c>
      <c r="D39" s="937" t="s">
        <v>51</v>
      </c>
      <c r="E39" s="934">
        <v>3070</v>
      </c>
      <c r="F39" s="935">
        <v>5298.51</v>
      </c>
      <c r="G39" s="934">
        <f t="shared" si="0"/>
        <v>2228.51</v>
      </c>
      <c r="H39" s="936">
        <f t="shared" si="1"/>
        <v>0.5794081732411565</v>
      </c>
    </row>
    <row r="40" spans="1:8" ht="15">
      <c r="A40" s="931">
        <v>37</v>
      </c>
      <c r="B40" s="931" t="s">
        <v>9</v>
      </c>
      <c r="C40" s="932" t="s">
        <v>52</v>
      </c>
      <c r="D40" s="937" t="s">
        <v>53</v>
      </c>
      <c r="E40" s="934">
        <v>916</v>
      </c>
      <c r="F40" s="935">
        <v>3504.915</v>
      </c>
      <c r="G40" s="934">
        <f t="shared" si="0"/>
        <v>2588.915</v>
      </c>
      <c r="H40" s="936">
        <f t="shared" si="1"/>
        <v>0.261347279463268</v>
      </c>
    </row>
    <row r="41" spans="1:8" ht="15">
      <c r="A41" s="931">
        <v>38</v>
      </c>
      <c r="B41" s="931" t="s">
        <v>9</v>
      </c>
      <c r="C41" s="932" t="s">
        <v>52</v>
      </c>
      <c r="D41" s="937" t="s">
        <v>54</v>
      </c>
      <c r="E41" s="934">
        <v>686</v>
      </c>
      <c r="F41" s="935">
        <v>3504.915</v>
      </c>
      <c r="G41" s="934">
        <f t="shared" si="0"/>
        <v>2818.915</v>
      </c>
      <c r="H41" s="936">
        <f t="shared" si="1"/>
        <v>0.19572514597358281</v>
      </c>
    </row>
    <row r="42" spans="1:8" ht="15">
      <c r="A42" s="931">
        <v>39</v>
      </c>
      <c r="B42" s="931" t="s">
        <v>9</v>
      </c>
      <c r="C42" s="932" t="s">
        <v>52</v>
      </c>
      <c r="D42" s="937" t="s">
        <v>55</v>
      </c>
      <c r="E42" s="934">
        <v>1070</v>
      </c>
      <c r="F42" s="935">
        <v>4344.12</v>
      </c>
      <c r="G42" s="934">
        <f t="shared" si="0"/>
        <v>3274.12</v>
      </c>
      <c r="H42" s="936">
        <f t="shared" si="1"/>
        <v>0.24630995460530558</v>
      </c>
    </row>
    <row r="43" spans="1:8" ht="15">
      <c r="A43" s="931">
        <v>40</v>
      </c>
      <c r="B43" s="931" t="s">
        <v>9</v>
      </c>
      <c r="C43" s="932" t="s">
        <v>56</v>
      </c>
      <c r="D43" s="937" t="s">
        <v>57</v>
      </c>
      <c r="E43" s="934">
        <v>1956</v>
      </c>
      <c r="F43" s="935">
        <v>3504.915</v>
      </c>
      <c r="G43" s="934">
        <f t="shared" si="0"/>
        <v>1548.915</v>
      </c>
      <c r="H43" s="936">
        <f t="shared" si="1"/>
        <v>0.5580734482861924</v>
      </c>
    </row>
    <row r="44" spans="1:8" ht="15">
      <c r="A44" s="931">
        <v>41</v>
      </c>
      <c r="B44" s="931" t="s">
        <v>9</v>
      </c>
      <c r="C44" s="932" t="s">
        <v>56</v>
      </c>
      <c r="D44" s="937" t="s">
        <v>58</v>
      </c>
      <c r="E44" s="934">
        <v>776</v>
      </c>
      <c r="F44" s="935">
        <v>3504.915</v>
      </c>
      <c r="G44" s="934">
        <f t="shared" si="0"/>
        <v>2728.915</v>
      </c>
      <c r="H44" s="936">
        <f t="shared" si="1"/>
        <v>0.2214033721217205</v>
      </c>
    </row>
    <row r="45" spans="1:8" ht="15">
      <c r="A45" s="931">
        <v>42</v>
      </c>
      <c r="B45" s="931" t="s">
        <v>9</v>
      </c>
      <c r="C45" s="932" t="s">
        <v>56</v>
      </c>
      <c r="D45" s="937" t="s">
        <v>59</v>
      </c>
      <c r="E45" s="934">
        <v>56</v>
      </c>
      <c r="F45" s="935">
        <v>7042.74</v>
      </c>
      <c r="G45" s="934">
        <f t="shared" si="0"/>
        <v>6986.74</v>
      </c>
      <c r="H45" s="936">
        <f t="shared" si="1"/>
        <v>0.007951450713784692</v>
      </c>
    </row>
    <row r="46" spans="1:8" ht="15">
      <c r="A46" s="931">
        <v>43</v>
      </c>
      <c r="B46" s="931" t="s">
        <v>9</v>
      </c>
      <c r="C46" s="932" t="s">
        <v>56</v>
      </c>
      <c r="D46" s="937" t="s">
        <v>60</v>
      </c>
      <c r="E46" s="934">
        <v>736</v>
      </c>
      <c r="F46" s="935">
        <v>3504.915</v>
      </c>
      <c r="G46" s="934">
        <f t="shared" si="0"/>
        <v>2768.915</v>
      </c>
      <c r="H46" s="936">
        <f t="shared" si="1"/>
        <v>0.20999082716699263</v>
      </c>
    </row>
    <row r="47" spans="1:8" ht="15">
      <c r="A47" s="931">
        <v>44</v>
      </c>
      <c r="B47" s="931" t="s">
        <v>9</v>
      </c>
      <c r="C47" s="932" t="s">
        <v>61</v>
      </c>
      <c r="D47" s="937" t="s">
        <v>62</v>
      </c>
      <c r="E47" s="934">
        <v>1456</v>
      </c>
      <c r="F47" s="935">
        <v>5298.51</v>
      </c>
      <c r="G47" s="934">
        <f t="shared" si="0"/>
        <v>3842.51</v>
      </c>
      <c r="H47" s="936">
        <f t="shared" si="1"/>
        <v>0.2747942346055778</v>
      </c>
    </row>
    <row r="48" spans="1:8" ht="15">
      <c r="A48" s="931">
        <v>45</v>
      </c>
      <c r="B48" s="931" t="s">
        <v>9</v>
      </c>
      <c r="C48" s="932" t="s">
        <v>61</v>
      </c>
      <c r="D48" s="937" t="s">
        <v>63</v>
      </c>
      <c r="E48" s="934">
        <v>1356</v>
      </c>
      <c r="F48" s="935">
        <v>3504.915</v>
      </c>
      <c r="G48" s="934">
        <f t="shared" si="0"/>
        <v>2148.915</v>
      </c>
      <c r="H48" s="936">
        <f t="shared" si="1"/>
        <v>0.3868852739652745</v>
      </c>
    </row>
    <row r="49" spans="1:8" ht="15">
      <c r="A49" s="931">
        <v>46</v>
      </c>
      <c r="B49" s="931" t="s">
        <v>9</v>
      </c>
      <c r="C49" s="932" t="s">
        <v>61</v>
      </c>
      <c r="D49" s="937" t="s">
        <v>64</v>
      </c>
      <c r="E49" s="934">
        <v>1356</v>
      </c>
      <c r="F49" s="935">
        <v>5298.51</v>
      </c>
      <c r="G49" s="934">
        <f t="shared" si="0"/>
        <v>3942.51</v>
      </c>
      <c r="H49" s="936">
        <f t="shared" si="1"/>
        <v>0.25592100420684305</v>
      </c>
    </row>
    <row r="50" spans="1:8" ht="15">
      <c r="A50" s="931">
        <v>47</v>
      </c>
      <c r="B50" s="931" t="s">
        <v>9</v>
      </c>
      <c r="C50" s="932" t="s">
        <v>61</v>
      </c>
      <c r="D50" s="937" t="s">
        <v>65</v>
      </c>
      <c r="E50" s="934">
        <v>2067</v>
      </c>
      <c r="F50" s="935">
        <v>3504.915</v>
      </c>
      <c r="G50" s="934">
        <f t="shared" si="0"/>
        <v>1437.915</v>
      </c>
      <c r="H50" s="936">
        <f t="shared" si="1"/>
        <v>0.5897432605355623</v>
      </c>
    </row>
    <row r="51" spans="1:8" ht="15">
      <c r="A51" s="931">
        <v>48</v>
      </c>
      <c r="B51" s="931" t="s">
        <v>9</v>
      </c>
      <c r="C51" s="932" t="s">
        <v>61</v>
      </c>
      <c r="D51" s="937" t="s">
        <v>66</v>
      </c>
      <c r="E51" s="934">
        <v>3009</v>
      </c>
      <c r="F51" s="935">
        <v>5298.51</v>
      </c>
      <c r="G51" s="934">
        <f t="shared" si="0"/>
        <v>2289.51</v>
      </c>
      <c r="H51" s="936">
        <f t="shared" si="1"/>
        <v>0.5678955026979282</v>
      </c>
    </row>
    <row r="52" spans="1:8" ht="15">
      <c r="A52" s="931">
        <v>49</v>
      </c>
      <c r="B52" s="931" t="s">
        <v>9</v>
      </c>
      <c r="C52" s="932" t="s">
        <v>67</v>
      </c>
      <c r="D52" s="937" t="s">
        <v>68</v>
      </c>
      <c r="E52" s="934">
        <v>2156</v>
      </c>
      <c r="F52" s="935">
        <v>5298.51</v>
      </c>
      <c r="G52" s="934">
        <f t="shared" si="0"/>
        <v>3142.51</v>
      </c>
      <c r="H52" s="936">
        <f t="shared" si="1"/>
        <v>0.40690684739672095</v>
      </c>
    </row>
    <row r="53" spans="1:8" ht="15">
      <c r="A53" s="931">
        <v>50</v>
      </c>
      <c r="B53" s="931" t="s">
        <v>9</v>
      </c>
      <c r="C53" s="932" t="s">
        <v>67</v>
      </c>
      <c r="D53" s="937" t="s">
        <v>69</v>
      </c>
      <c r="E53" s="934">
        <v>2656</v>
      </c>
      <c r="F53" s="935">
        <v>7042.74</v>
      </c>
      <c r="G53" s="934">
        <f t="shared" si="0"/>
        <v>4386.74</v>
      </c>
      <c r="H53" s="936">
        <f t="shared" si="1"/>
        <v>0.3771259481395025</v>
      </c>
    </row>
    <row r="54" spans="1:8" ht="15">
      <c r="A54" s="931">
        <v>51</v>
      </c>
      <c r="B54" s="931" t="s">
        <v>9</v>
      </c>
      <c r="C54" s="932" t="s">
        <v>67</v>
      </c>
      <c r="D54" s="937" t="s">
        <v>70</v>
      </c>
      <c r="E54" s="934">
        <v>56</v>
      </c>
      <c r="F54" s="935">
        <v>6006.075</v>
      </c>
      <c r="G54" s="934">
        <f t="shared" si="0"/>
        <v>5950.075</v>
      </c>
      <c r="H54" s="936">
        <f t="shared" si="1"/>
        <v>0.009323892891780407</v>
      </c>
    </row>
    <row r="55" spans="1:8" ht="15">
      <c r="A55" s="931">
        <v>52</v>
      </c>
      <c r="B55" s="931" t="s">
        <v>9</v>
      </c>
      <c r="C55" s="932" t="s">
        <v>67</v>
      </c>
      <c r="D55" s="937" t="s">
        <v>71</v>
      </c>
      <c r="E55" s="934">
        <v>1556</v>
      </c>
      <c r="F55" s="935">
        <v>4344.12</v>
      </c>
      <c r="G55" s="934">
        <f t="shared" si="0"/>
        <v>2788.12</v>
      </c>
      <c r="H55" s="936">
        <f t="shared" si="1"/>
        <v>0.3581853171643509</v>
      </c>
    </row>
    <row r="56" spans="1:8" ht="15">
      <c r="A56" s="931">
        <v>53</v>
      </c>
      <c r="B56" s="931" t="s">
        <v>9</v>
      </c>
      <c r="C56" s="932" t="s">
        <v>67</v>
      </c>
      <c r="D56" s="937" t="s">
        <v>72</v>
      </c>
      <c r="E56" s="934">
        <v>1656</v>
      </c>
      <c r="F56" s="935">
        <v>4344.12</v>
      </c>
      <c r="G56" s="934">
        <f t="shared" si="0"/>
        <v>2688.12</v>
      </c>
      <c r="H56" s="936">
        <f t="shared" si="1"/>
        <v>0.3812049390900804</v>
      </c>
    </row>
    <row r="57" spans="1:8" ht="15">
      <c r="A57" s="931">
        <v>54</v>
      </c>
      <c r="B57" s="931" t="s">
        <v>9</v>
      </c>
      <c r="C57" s="932" t="s">
        <v>67</v>
      </c>
      <c r="D57" s="937" t="s">
        <v>73</v>
      </c>
      <c r="E57" s="934">
        <v>856</v>
      </c>
      <c r="F57" s="935">
        <v>5298.51</v>
      </c>
      <c r="G57" s="934">
        <f t="shared" si="0"/>
        <v>4442.51</v>
      </c>
      <c r="H57" s="936">
        <f t="shared" si="1"/>
        <v>0.16155485221316937</v>
      </c>
    </row>
    <row r="58" spans="1:8" ht="15">
      <c r="A58" s="931">
        <v>55</v>
      </c>
      <c r="B58" s="931" t="s">
        <v>9</v>
      </c>
      <c r="C58" s="932" t="s">
        <v>67</v>
      </c>
      <c r="D58" s="937" t="s">
        <v>74</v>
      </c>
      <c r="E58" s="934">
        <v>56</v>
      </c>
      <c r="F58" s="935">
        <v>5298.51</v>
      </c>
      <c r="G58" s="934">
        <f t="shared" si="0"/>
        <v>5242.51</v>
      </c>
      <c r="H58" s="936">
        <f t="shared" si="1"/>
        <v>0.010569009023291453</v>
      </c>
    </row>
    <row r="59" spans="1:8" ht="15">
      <c r="A59" s="931">
        <v>56</v>
      </c>
      <c r="B59" s="931" t="s">
        <v>9</v>
      </c>
      <c r="C59" s="932" t="s">
        <v>67</v>
      </c>
      <c r="D59" s="937" t="s">
        <v>75</v>
      </c>
      <c r="E59" s="934">
        <v>1956</v>
      </c>
      <c r="F59" s="935">
        <v>7042.74</v>
      </c>
      <c r="G59" s="934">
        <f t="shared" si="0"/>
        <v>5086.74</v>
      </c>
      <c r="H59" s="936">
        <f t="shared" si="1"/>
        <v>0.27773281421719387</v>
      </c>
    </row>
    <row r="60" spans="1:8" ht="15">
      <c r="A60" s="931">
        <v>57</v>
      </c>
      <c r="B60" s="931" t="s">
        <v>9</v>
      </c>
      <c r="C60" s="932" t="s">
        <v>76</v>
      </c>
      <c r="D60" s="937" t="s">
        <v>77</v>
      </c>
      <c r="E60" s="934">
        <v>846</v>
      </c>
      <c r="F60" s="935">
        <v>3504.915</v>
      </c>
      <c r="G60" s="934">
        <f t="shared" si="0"/>
        <v>2658.915</v>
      </c>
      <c r="H60" s="936">
        <f t="shared" si="1"/>
        <v>0.24137532579249427</v>
      </c>
    </row>
    <row r="61" spans="1:8" ht="15">
      <c r="A61" s="931">
        <v>58</v>
      </c>
      <c r="B61" s="931" t="s">
        <v>9</v>
      </c>
      <c r="C61" s="932" t="s">
        <v>76</v>
      </c>
      <c r="D61" s="937" t="s">
        <v>78</v>
      </c>
      <c r="E61" s="934">
        <v>1856</v>
      </c>
      <c r="F61" s="935">
        <v>4344.12</v>
      </c>
      <c r="G61" s="934">
        <f t="shared" si="0"/>
        <v>2488.12</v>
      </c>
      <c r="H61" s="936">
        <f t="shared" si="1"/>
        <v>0.4272441829415394</v>
      </c>
    </row>
    <row r="62" spans="1:8" ht="15">
      <c r="A62" s="931">
        <v>59</v>
      </c>
      <c r="B62" s="931" t="s">
        <v>9</v>
      </c>
      <c r="C62" s="932" t="s">
        <v>76</v>
      </c>
      <c r="D62" s="937" t="s">
        <v>79</v>
      </c>
      <c r="E62" s="934">
        <v>856</v>
      </c>
      <c r="F62" s="935">
        <v>3504.915</v>
      </c>
      <c r="G62" s="934">
        <f t="shared" si="0"/>
        <v>2648.915</v>
      </c>
      <c r="H62" s="936">
        <f t="shared" si="1"/>
        <v>0.24422846203117624</v>
      </c>
    </row>
    <row r="63" spans="1:8" ht="15">
      <c r="A63" s="931">
        <v>60</v>
      </c>
      <c r="B63" s="931" t="s">
        <v>9</v>
      </c>
      <c r="C63" s="932" t="s">
        <v>76</v>
      </c>
      <c r="D63" s="937" t="s">
        <v>80</v>
      </c>
      <c r="E63" s="934">
        <v>976</v>
      </c>
      <c r="F63" s="935">
        <v>4344.12</v>
      </c>
      <c r="G63" s="934">
        <f t="shared" si="0"/>
        <v>3368.12</v>
      </c>
      <c r="H63" s="936">
        <f t="shared" si="1"/>
        <v>0.22467150999511984</v>
      </c>
    </row>
    <row r="64" spans="1:8" ht="15">
      <c r="A64" s="931">
        <v>61</v>
      </c>
      <c r="B64" s="931" t="s">
        <v>9</v>
      </c>
      <c r="C64" s="932" t="s">
        <v>81</v>
      </c>
      <c r="D64" s="933" t="s">
        <v>82</v>
      </c>
      <c r="E64" s="934">
        <v>1077</v>
      </c>
      <c r="F64" s="935">
        <v>7042.74</v>
      </c>
      <c r="G64" s="934">
        <f t="shared" si="0"/>
        <v>5965.74</v>
      </c>
      <c r="H64" s="936">
        <f t="shared" si="1"/>
        <v>0.15292343604903774</v>
      </c>
    </row>
    <row r="65" spans="1:8" ht="15">
      <c r="A65" s="931">
        <v>62</v>
      </c>
      <c r="B65" s="931" t="s">
        <v>9</v>
      </c>
      <c r="C65" s="932" t="s">
        <v>81</v>
      </c>
      <c r="D65" s="933" t="s">
        <v>83</v>
      </c>
      <c r="E65" s="934">
        <v>2506</v>
      </c>
      <c r="F65" s="935">
        <v>7042.74</v>
      </c>
      <c r="G65" s="934">
        <f t="shared" si="0"/>
        <v>4536.74</v>
      </c>
      <c r="H65" s="936">
        <f t="shared" si="1"/>
        <v>0.35582741944186497</v>
      </c>
    </row>
    <row r="66" spans="1:8" ht="15">
      <c r="A66" s="931">
        <v>63</v>
      </c>
      <c r="B66" s="931" t="s">
        <v>9</v>
      </c>
      <c r="C66" s="932" t="s">
        <v>81</v>
      </c>
      <c r="D66" s="933" t="s">
        <v>84</v>
      </c>
      <c r="E66" s="934">
        <v>2203</v>
      </c>
      <c r="F66" s="935">
        <v>4344.12</v>
      </c>
      <c r="G66" s="934">
        <f t="shared" si="0"/>
        <v>2141.12</v>
      </c>
      <c r="H66" s="936">
        <f t="shared" si="1"/>
        <v>0.5071222710238207</v>
      </c>
    </row>
    <row r="67" spans="1:8" ht="15">
      <c r="A67" s="931">
        <v>64</v>
      </c>
      <c r="B67" s="931" t="s">
        <v>9</v>
      </c>
      <c r="C67" s="932" t="s">
        <v>81</v>
      </c>
      <c r="D67" s="933" t="s">
        <v>85</v>
      </c>
      <c r="E67" s="934">
        <v>1260</v>
      </c>
      <c r="F67" s="935">
        <v>4344.12</v>
      </c>
      <c r="G67" s="934">
        <f t="shared" si="0"/>
        <v>3084.12</v>
      </c>
      <c r="H67" s="936">
        <f t="shared" si="1"/>
        <v>0.2900472362641916</v>
      </c>
    </row>
    <row r="68" spans="1:8" ht="15">
      <c r="A68" s="931">
        <v>65</v>
      </c>
      <c r="B68" s="931" t="s">
        <v>9</v>
      </c>
      <c r="C68" s="932" t="s">
        <v>81</v>
      </c>
      <c r="D68" s="933" t="s">
        <v>86</v>
      </c>
      <c r="E68" s="934">
        <v>1303</v>
      </c>
      <c r="F68" s="935">
        <v>4344.12</v>
      </c>
      <c r="G68" s="934">
        <f aca="true" t="shared" si="2" ref="G68:G70">F68-E68</f>
        <v>3041.12</v>
      </c>
      <c r="H68" s="936">
        <f aca="true" t="shared" si="3" ref="H68:H70">E68/F68</f>
        <v>0.2999456736922553</v>
      </c>
    </row>
    <row r="69" spans="1:8" ht="15">
      <c r="A69" s="931">
        <v>66</v>
      </c>
      <c r="B69" s="931" t="s">
        <v>9</v>
      </c>
      <c r="C69" s="932" t="s">
        <v>81</v>
      </c>
      <c r="D69" s="933" t="s">
        <v>87</v>
      </c>
      <c r="E69" s="934">
        <v>1531</v>
      </c>
      <c r="F69" s="935">
        <v>7042.74</v>
      </c>
      <c r="G69" s="934">
        <f t="shared" si="2"/>
        <v>5511.74</v>
      </c>
      <c r="H69" s="936">
        <f t="shared" si="3"/>
        <v>0.21738698290722078</v>
      </c>
    </row>
    <row r="70" spans="1:8" ht="15">
      <c r="A70" s="931">
        <v>67</v>
      </c>
      <c r="B70" s="931" t="s">
        <v>9</v>
      </c>
      <c r="C70" s="932" t="s">
        <v>76</v>
      </c>
      <c r="D70" s="933" t="s">
        <v>88</v>
      </c>
      <c r="E70" s="934">
        <v>886</v>
      </c>
      <c r="F70" s="935">
        <v>7042.74</v>
      </c>
      <c r="G70" s="934">
        <f t="shared" si="2"/>
        <v>6156.74</v>
      </c>
      <c r="H70" s="936">
        <f t="shared" si="3"/>
        <v>0.12580330950737922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4"/>
  <sheetViews>
    <sheetView zoomScale="75" zoomScaleNormal="75" workbookViewId="0" topLeftCell="A4">
      <selection activeCell="AG6" sqref="AG6"/>
    </sheetView>
  </sheetViews>
  <sheetFormatPr defaultColWidth="9.00390625" defaultRowHeight="14.25"/>
  <cols>
    <col min="1" max="1" width="3.125" style="294" customWidth="1"/>
    <col min="2" max="2" width="12.50390625" style="294" customWidth="1"/>
    <col min="3" max="3" width="2.25390625" style="294" customWidth="1"/>
    <col min="4" max="4" width="2.375" style="294" customWidth="1"/>
    <col min="5" max="5" width="2.50390625" style="294" customWidth="1"/>
    <col min="6" max="6" width="10.00390625" style="294" customWidth="1"/>
    <col min="7" max="7" width="7.125" style="294" customWidth="1"/>
    <col min="8" max="8" width="8.00390625" style="294" customWidth="1"/>
    <col min="9" max="9" width="9.00390625" style="294" customWidth="1"/>
    <col min="10" max="10" width="4.25390625" style="294" customWidth="1"/>
    <col min="11" max="11" width="8.25390625" style="294" customWidth="1"/>
    <col min="12" max="12" width="4.75390625" style="294" customWidth="1"/>
    <col min="13" max="13" width="8.375" style="294" customWidth="1"/>
    <col min="14" max="14" width="5.50390625" style="294" bestFit="1" customWidth="1"/>
    <col min="15" max="15" width="5.625" style="294" customWidth="1"/>
    <col min="16" max="16" width="5.25390625" style="294" customWidth="1"/>
    <col min="17" max="17" width="3.75390625" style="294" customWidth="1"/>
    <col min="18" max="18" width="4.00390625" style="294" customWidth="1"/>
    <col min="19" max="19" width="2.75390625" style="294" customWidth="1"/>
    <col min="20" max="20" width="4.875" style="294" customWidth="1"/>
    <col min="21" max="21" width="4.75390625" style="294" customWidth="1"/>
    <col min="22" max="22" width="4.375" style="294" customWidth="1"/>
    <col min="23" max="24" width="6.75390625" style="294" customWidth="1"/>
    <col min="25" max="25" width="6.375" style="294" customWidth="1"/>
    <col min="26" max="26" width="6.50390625" style="294" customWidth="1"/>
    <col min="27" max="27" width="5.125" style="294" customWidth="1"/>
    <col min="28" max="28" width="4.75390625" style="294" customWidth="1"/>
    <col min="29" max="29" width="13.00390625" style="294" customWidth="1"/>
    <col min="30" max="30" width="8.375" style="294" customWidth="1"/>
    <col min="31" max="31" width="10.50390625" style="294" customWidth="1"/>
    <col min="32" max="32" width="4.375" style="294" customWidth="1"/>
    <col min="33" max="35" width="4.75390625" style="294" customWidth="1"/>
    <col min="36" max="36" width="5.50390625" style="294" customWidth="1"/>
    <col min="37" max="37" width="5.25390625" style="294" customWidth="1"/>
    <col min="38" max="38" width="4.375" style="294" customWidth="1"/>
    <col min="39" max="16384" width="9.00390625" style="294" customWidth="1"/>
  </cols>
  <sheetData>
    <row r="1" spans="1:30" ht="20.25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28" ht="15.75">
      <c r="A2" s="294" t="s">
        <v>98</v>
      </c>
      <c r="F2" s="294" t="s">
        <v>290</v>
      </c>
      <c r="V2" s="294" t="s">
        <v>291</v>
      </c>
      <c r="AB2" s="294" t="s">
        <v>101</v>
      </c>
    </row>
    <row r="3" spans="1:30" s="620" customFormat="1" ht="15.75">
      <c r="A3" s="333" t="s">
        <v>102</v>
      </c>
      <c r="B3" s="334" t="s">
        <v>103</v>
      </c>
      <c r="C3" s="334" t="s">
        <v>104</v>
      </c>
      <c r="D3" s="334"/>
      <c r="E3" s="334"/>
      <c r="F3" s="335" t="s">
        <v>105</v>
      </c>
      <c r="G3" s="336"/>
      <c r="H3" s="336"/>
      <c r="I3" s="336" t="s">
        <v>106</v>
      </c>
      <c r="J3" s="336"/>
      <c r="K3" s="336"/>
      <c r="L3" s="336"/>
      <c r="M3" s="336"/>
      <c r="N3" s="336"/>
      <c r="O3" s="333" t="s">
        <v>107</v>
      </c>
      <c r="P3" s="333" t="s">
        <v>108</v>
      </c>
      <c r="Q3" s="341" t="s">
        <v>109</v>
      </c>
      <c r="R3" s="349"/>
      <c r="S3" s="349"/>
      <c r="T3" s="335"/>
      <c r="U3" s="336" t="s">
        <v>110</v>
      </c>
      <c r="V3" s="336"/>
      <c r="W3" s="341" t="s">
        <v>111</v>
      </c>
      <c r="X3" s="349"/>
      <c r="Y3" s="335"/>
      <c r="Z3" s="333" t="s">
        <v>112</v>
      </c>
      <c r="AA3" s="336" t="s">
        <v>113</v>
      </c>
      <c r="AB3" s="336"/>
      <c r="AC3" s="777" t="s">
        <v>114</v>
      </c>
      <c r="AD3" s="777" t="s">
        <v>115</v>
      </c>
    </row>
    <row r="4" spans="1:30" s="620" customFormat="1" ht="15.75" customHeight="1">
      <c r="A4" s="337"/>
      <c r="B4" s="334"/>
      <c r="C4" s="334" t="s">
        <v>116</v>
      </c>
      <c r="D4" s="334" t="s">
        <v>117</v>
      </c>
      <c r="E4" s="334" t="s">
        <v>118</v>
      </c>
      <c r="F4" s="303" t="s">
        <v>119</v>
      </c>
      <c r="G4" s="304"/>
      <c r="H4" s="304"/>
      <c r="I4" s="336" t="s">
        <v>120</v>
      </c>
      <c r="J4" s="336"/>
      <c r="K4" s="336" t="s">
        <v>121</v>
      </c>
      <c r="L4" s="336"/>
      <c r="M4" s="336" t="s">
        <v>122</v>
      </c>
      <c r="N4" s="336"/>
      <c r="O4" s="337"/>
      <c r="P4" s="347" t="s">
        <v>123</v>
      </c>
      <c r="Q4" s="333"/>
      <c r="R4" s="333"/>
      <c r="S4" s="333"/>
      <c r="T4" s="333"/>
      <c r="U4" s="336" t="s">
        <v>124</v>
      </c>
      <c r="V4" s="336"/>
      <c r="W4" s="333" t="s">
        <v>125</v>
      </c>
      <c r="X4" s="333" t="s">
        <v>126</v>
      </c>
      <c r="Y4" s="333" t="s">
        <v>126</v>
      </c>
      <c r="Z4" s="337" t="s">
        <v>127</v>
      </c>
      <c r="AA4" s="336" t="s">
        <v>128</v>
      </c>
      <c r="AB4" s="336"/>
      <c r="AC4" s="778" t="s">
        <v>129</v>
      </c>
      <c r="AD4" s="778" t="s">
        <v>130</v>
      </c>
    </row>
    <row r="5" spans="1:30" s="620" customFormat="1" ht="15.75" customHeight="1">
      <c r="A5" s="337"/>
      <c r="B5" s="334"/>
      <c r="C5" s="334"/>
      <c r="D5" s="334"/>
      <c r="E5" s="334"/>
      <c r="F5" s="303"/>
      <c r="G5" s="304"/>
      <c r="H5" s="304"/>
      <c r="I5" s="336"/>
      <c r="J5" s="336"/>
      <c r="K5" s="336"/>
      <c r="L5" s="336"/>
      <c r="M5" s="336"/>
      <c r="N5" s="336"/>
      <c r="O5" s="338" t="s">
        <v>131</v>
      </c>
      <c r="P5" s="348" t="s">
        <v>132</v>
      </c>
      <c r="Q5" s="337"/>
      <c r="R5" s="337" t="s">
        <v>133</v>
      </c>
      <c r="S5" s="337"/>
      <c r="T5" s="337"/>
      <c r="U5" s="336"/>
      <c r="V5" s="336"/>
      <c r="W5" s="337"/>
      <c r="X5" s="337"/>
      <c r="Y5" s="337"/>
      <c r="Z5" s="338" t="s">
        <v>134</v>
      </c>
      <c r="AA5" s="336"/>
      <c r="AB5" s="336"/>
      <c r="AC5" s="777" t="s">
        <v>135</v>
      </c>
      <c r="AD5" s="779" t="s">
        <v>136</v>
      </c>
    </row>
    <row r="6" spans="1:30" s="620" customFormat="1" ht="15.75">
      <c r="A6" s="338" t="s">
        <v>137</v>
      </c>
      <c r="B6" s="334"/>
      <c r="C6" s="334"/>
      <c r="D6" s="334"/>
      <c r="E6" s="334"/>
      <c r="F6" s="335" t="s">
        <v>120</v>
      </c>
      <c r="G6" s="336" t="s">
        <v>121</v>
      </c>
      <c r="H6" s="336" t="s">
        <v>122</v>
      </c>
      <c r="I6" s="336" t="s">
        <v>138</v>
      </c>
      <c r="J6" s="336" t="s">
        <v>139</v>
      </c>
      <c r="K6" s="336" t="s">
        <v>138</v>
      </c>
      <c r="L6" s="336" t="s">
        <v>139</v>
      </c>
      <c r="M6" s="336" t="s">
        <v>138</v>
      </c>
      <c r="N6" s="336" t="s">
        <v>139</v>
      </c>
      <c r="O6" s="336" t="s">
        <v>128</v>
      </c>
      <c r="P6" s="336" t="s">
        <v>128</v>
      </c>
      <c r="Q6" s="326" t="s">
        <v>140</v>
      </c>
      <c r="R6" s="338" t="s">
        <v>141</v>
      </c>
      <c r="S6" s="338" t="s">
        <v>142</v>
      </c>
      <c r="T6" s="338" t="s">
        <v>122</v>
      </c>
      <c r="U6" s="336" t="s">
        <v>138</v>
      </c>
      <c r="V6" s="336" t="s">
        <v>139</v>
      </c>
      <c r="W6" s="338"/>
      <c r="X6" s="338" t="s">
        <v>143</v>
      </c>
      <c r="Y6" s="338" t="s">
        <v>144</v>
      </c>
      <c r="Z6" s="336" t="s">
        <v>145</v>
      </c>
      <c r="AA6" s="304" t="s">
        <v>146</v>
      </c>
      <c r="AB6" s="304" t="s">
        <v>147</v>
      </c>
      <c r="AC6" s="778" t="s">
        <v>148</v>
      </c>
      <c r="AD6" s="780"/>
    </row>
    <row r="7" spans="1:30" s="557" customFormat="1" ht="21.75" customHeight="1">
      <c r="A7" s="760">
        <v>1</v>
      </c>
      <c r="B7" s="761" t="s">
        <v>292</v>
      </c>
      <c r="C7" s="761" t="s">
        <v>150</v>
      </c>
      <c r="D7" s="761"/>
      <c r="E7" s="761"/>
      <c r="F7" s="762">
        <v>4.38</v>
      </c>
      <c r="G7" s="762">
        <v>1.16</v>
      </c>
      <c r="H7" s="762">
        <f aca="true" t="shared" si="0" ref="H7:H11">G7+F7</f>
        <v>5.54</v>
      </c>
      <c r="I7" s="762">
        <v>1680</v>
      </c>
      <c r="J7" s="762">
        <v>10</v>
      </c>
      <c r="K7" s="762">
        <v>2630</v>
      </c>
      <c r="L7" s="762">
        <v>14</v>
      </c>
      <c r="M7" s="762">
        <f aca="true" t="shared" si="1" ref="M7:M10">SUM(I7+K7)</f>
        <v>4310</v>
      </c>
      <c r="N7" s="762">
        <v>24</v>
      </c>
      <c r="O7" s="762">
        <v>93</v>
      </c>
      <c r="P7" s="762">
        <v>78</v>
      </c>
      <c r="Q7" s="761"/>
      <c r="R7" s="761">
        <v>2</v>
      </c>
      <c r="S7" s="761"/>
      <c r="T7" s="761">
        <v>2</v>
      </c>
      <c r="U7" s="761"/>
      <c r="V7" s="761"/>
      <c r="W7" s="761">
        <v>159</v>
      </c>
      <c r="X7" s="762">
        <v>64</v>
      </c>
      <c r="Y7" s="762">
        <v>12</v>
      </c>
      <c r="Z7" s="762">
        <v>4</v>
      </c>
      <c r="AA7" s="761">
        <v>20</v>
      </c>
      <c r="AB7" s="761">
        <v>6</v>
      </c>
      <c r="AC7" s="761">
        <v>515.5647</v>
      </c>
      <c r="AD7" s="765">
        <v>5.2</v>
      </c>
    </row>
    <row r="8" spans="1:30" s="557" customFormat="1" ht="21.75" customHeight="1">
      <c r="A8" s="763">
        <v>2</v>
      </c>
      <c r="B8" s="764" t="s">
        <v>293</v>
      </c>
      <c r="C8" s="765" t="s">
        <v>150</v>
      </c>
      <c r="D8" s="765"/>
      <c r="E8" s="765"/>
      <c r="F8" s="766">
        <v>6.74</v>
      </c>
      <c r="G8" s="766">
        <v>1.98</v>
      </c>
      <c r="H8" s="762">
        <f t="shared" si="0"/>
        <v>8.72</v>
      </c>
      <c r="I8" s="766">
        <v>1885</v>
      </c>
      <c r="J8" s="766">
        <v>10</v>
      </c>
      <c r="K8" s="766">
        <v>4965</v>
      </c>
      <c r="L8" s="766">
        <v>21</v>
      </c>
      <c r="M8" s="762">
        <f t="shared" si="1"/>
        <v>6850</v>
      </c>
      <c r="N8" s="762">
        <f>L8+J8</f>
        <v>31</v>
      </c>
      <c r="O8" s="766">
        <v>102</v>
      </c>
      <c r="P8" s="766">
        <v>93</v>
      </c>
      <c r="Q8" s="765"/>
      <c r="R8" s="765">
        <v>3</v>
      </c>
      <c r="S8" s="765"/>
      <c r="T8" s="765">
        <v>3</v>
      </c>
      <c r="U8" s="765"/>
      <c r="V8" s="765"/>
      <c r="W8" s="765">
        <v>107</v>
      </c>
      <c r="X8" s="762">
        <v>32</v>
      </c>
      <c r="Y8" s="766">
        <v>7</v>
      </c>
      <c r="Z8" s="762">
        <v>1</v>
      </c>
      <c r="AA8" s="765">
        <v>24</v>
      </c>
      <c r="AB8" s="765">
        <v>7</v>
      </c>
      <c r="AC8" s="765">
        <v>763.8698</v>
      </c>
      <c r="AD8" s="765">
        <v>5.53</v>
      </c>
    </row>
    <row r="9" spans="1:30" s="557" customFormat="1" ht="21.75" customHeight="1">
      <c r="A9" s="760">
        <v>3</v>
      </c>
      <c r="B9" s="764" t="s">
        <v>294</v>
      </c>
      <c r="C9" s="765" t="s">
        <v>150</v>
      </c>
      <c r="D9" s="765"/>
      <c r="E9" s="765"/>
      <c r="F9" s="766">
        <v>28.81</v>
      </c>
      <c r="G9" s="766">
        <v>0.75</v>
      </c>
      <c r="H9" s="762">
        <f t="shared" si="0"/>
        <v>29.56</v>
      </c>
      <c r="I9" s="766">
        <v>306.3</v>
      </c>
      <c r="J9" s="766">
        <v>13</v>
      </c>
      <c r="K9" s="766">
        <v>1200</v>
      </c>
      <c r="L9" s="766">
        <v>12</v>
      </c>
      <c r="M9" s="762">
        <f t="shared" si="1"/>
        <v>1506.3</v>
      </c>
      <c r="N9" s="762">
        <v>25</v>
      </c>
      <c r="O9" s="766">
        <v>81</v>
      </c>
      <c r="P9" s="766">
        <v>75</v>
      </c>
      <c r="Q9" s="765"/>
      <c r="R9" s="765">
        <v>2</v>
      </c>
      <c r="S9" s="765"/>
      <c r="T9" s="765">
        <v>2</v>
      </c>
      <c r="U9" s="765"/>
      <c r="V9" s="765"/>
      <c r="W9" s="765">
        <v>73</v>
      </c>
      <c r="X9" s="762">
        <v>8</v>
      </c>
      <c r="Y9" s="766">
        <v>1</v>
      </c>
      <c r="Z9" s="762">
        <v>0</v>
      </c>
      <c r="AA9" s="765">
        <v>3</v>
      </c>
      <c r="AB9" s="765"/>
      <c r="AC9" s="765">
        <v>89.2136</v>
      </c>
      <c r="AD9" s="765">
        <v>6.75</v>
      </c>
    </row>
    <row r="10" spans="1:30" s="557" customFormat="1" ht="21.75" customHeight="1">
      <c r="A10" s="760">
        <v>4</v>
      </c>
      <c r="B10" s="764" t="s">
        <v>295</v>
      </c>
      <c r="C10" s="765" t="s">
        <v>150</v>
      </c>
      <c r="D10" s="765"/>
      <c r="E10" s="765"/>
      <c r="F10" s="766">
        <v>22.37</v>
      </c>
      <c r="G10" s="766">
        <v>2.11</v>
      </c>
      <c r="H10" s="762">
        <f t="shared" si="0"/>
        <v>24.48</v>
      </c>
      <c r="I10" s="766">
        <v>656.3</v>
      </c>
      <c r="J10" s="766">
        <v>14</v>
      </c>
      <c r="K10" s="766">
        <v>7445</v>
      </c>
      <c r="L10" s="766">
        <v>20</v>
      </c>
      <c r="M10" s="762">
        <f t="shared" si="1"/>
        <v>8101.3</v>
      </c>
      <c r="N10" s="762">
        <f>SUM(J10+L10)</f>
        <v>34</v>
      </c>
      <c r="O10" s="766">
        <v>117</v>
      </c>
      <c r="P10" s="766">
        <v>102</v>
      </c>
      <c r="Q10" s="765"/>
      <c r="R10" s="765">
        <v>2</v>
      </c>
      <c r="S10" s="765"/>
      <c r="T10" s="765">
        <v>2</v>
      </c>
      <c r="U10" s="765"/>
      <c r="V10" s="765"/>
      <c r="W10" s="765">
        <v>65</v>
      </c>
      <c r="X10" s="762">
        <v>14</v>
      </c>
      <c r="Y10" s="766">
        <v>4</v>
      </c>
      <c r="Z10" s="762">
        <v>1</v>
      </c>
      <c r="AA10" s="765">
        <v>5</v>
      </c>
      <c r="AB10" s="765"/>
      <c r="AC10" s="765">
        <v>47.2564</v>
      </c>
      <c r="AD10" s="765">
        <v>5.32</v>
      </c>
    </row>
    <row r="11" spans="1:30" s="557" customFormat="1" ht="21.75" customHeight="1">
      <c r="A11" s="760">
        <v>5</v>
      </c>
      <c r="B11" s="764" t="s">
        <v>296</v>
      </c>
      <c r="C11" s="765"/>
      <c r="D11" s="765" t="s">
        <v>150</v>
      </c>
      <c r="E11" s="765"/>
      <c r="F11" s="766">
        <v>76.62</v>
      </c>
      <c r="G11" s="766">
        <v>3.53</v>
      </c>
      <c r="H11" s="762">
        <f t="shared" si="0"/>
        <v>80.15</v>
      </c>
      <c r="I11" s="766">
        <v>1760</v>
      </c>
      <c r="J11" s="766">
        <v>54</v>
      </c>
      <c r="K11" s="766">
        <v>1070</v>
      </c>
      <c r="L11" s="766">
        <v>19</v>
      </c>
      <c r="M11" s="762">
        <f>K11+I11</f>
        <v>2830</v>
      </c>
      <c r="N11" s="762">
        <f>L11+J11</f>
        <v>73</v>
      </c>
      <c r="O11" s="766">
        <v>240</v>
      </c>
      <c r="P11" s="766">
        <v>219</v>
      </c>
      <c r="Q11" s="765"/>
      <c r="R11" s="765">
        <v>3</v>
      </c>
      <c r="S11" s="765"/>
      <c r="T11" s="765">
        <v>3</v>
      </c>
      <c r="U11" s="765"/>
      <c r="V11" s="765"/>
      <c r="W11" s="765">
        <v>186</v>
      </c>
      <c r="X11" s="765">
        <v>37</v>
      </c>
      <c r="Y11" s="765">
        <v>5</v>
      </c>
      <c r="Z11" s="765">
        <v>1</v>
      </c>
      <c r="AA11" s="765">
        <v>9</v>
      </c>
      <c r="AB11" s="765">
        <v>3</v>
      </c>
      <c r="AC11" s="765">
        <v>246.0688</v>
      </c>
      <c r="AD11" s="765">
        <v>7.38</v>
      </c>
    </row>
    <row r="12" spans="1:30" s="557" customFormat="1" ht="21.75" customHeight="1">
      <c r="A12" s="763">
        <v>6</v>
      </c>
      <c r="B12" s="764" t="s">
        <v>297</v>
      </c>
      <c r="C12" s="765"/>
      <c r="D12" s="765" t="s">
        <v>150</v>
      </c>
      <c r="E12" s="765"/>
      <c r="F12" s="766">
        <v>104.97</v>
      </c>
      <c r="G12" s="766">
        <v>2.43</v>
      </c>
      <c r="H12" s="762">
        <f aca="true" t="shared" si="2" ref="H12:H24">G12+F12</f>
        <v>107.4</v>
      </c>
      <c r="I12" s="766">
        <v>2120</v>
      </c>
      <c r="J12" s="766">
        <v>73</v>
      </c>
      <c r="K12" s="766">
        <v>1010</v>
      </c>
      <c r="L12" s="766">
        <v>20</v>
      </c>
      <c r="M12" s="762">
        <f aca="true" t="shared" si="3" ref="M12:N24">K12+I12</f>
        <v>3130</v>
      </c>
      <c r="N12" s="762">
        <v>93</v>
      </c>
      <c r="O12" s="766">
        <v>309</v>
      </c>
      <c r="P12" s="766">
        <v>267</v>
      </c>
      <c r="Q12" s="765"/>
      <c r="R12" s="765">
        <v>3</v>
      </c>
      <c r="S12" s="765"/>
      <c r="T12" s="765">
        <v>3</v>
      </c>
      <c r="U12" s="765"/>
      <c r="V12" s="765"/>
      <c r="W12" s="765">
        <v>132</v>
      </c>
      <c r="X12" s="765">
        <v>18</v>
      </c>
      <c r="Y12" s="765">
        <v>4</v>
      </c>
      <c r="Z12" s="765">
        <v>1</v>
      </c>
      <c r="AA12" s="765">
        <v>8</v>
      </c>
      <c r="AB12" s="765">
        <v>3</v>
      </c>
      <c r="AC12" s="765">
        <v>197.8355</v>
      </c>
      <c r="AD12" s="765">
        <v>7.45</v>
      </c>
    </row>
    <row r="13" spans="1:30" s="557" customFormat="1" ht="21.75" customHeight="1">
      <c r="A13" s="760">
        <v>7</v>
      </c>
      <c r="B13" s="764" t="s">
        <v>298</v>
      </c>
      <c r="C13" s="765"/>
      <c r="D13" s="765"/>
      <c r="E13" s="765" t="s">
        <v>150</v>
      </c>
      <c r="F13" s="766"/>
      <c r="G13" s="766">
        <v>54.3</v>
      </c>
      <c r="H13" s="762">
        <f t="shared" si="2"/>
        <v>54.3</v>
      </c>
      <c r="I13" s="766"/>
      <c r="J13" s="766"/>
      <c r="K13" s="766">
        <v>600</v>
      </c>
      <c r="L13" s="766">
        <v>5</v>
      </c>
      <c r="M13" s="762">
        <f t="shared" si="3"/>
        <v>600</v>
      </c>
      <c r="N13" s="762">
        <f t="shared" si="3"/>
        <v>5</v>
      </c>
      <c r="O13" s="766">
        <v>24</v>
      </c>
      <c r="P13" s="766">
        <v>15</v>
      </c>
      <c r="Q13" s="765"/>
      <c r="R13" s="765"/>
      <c r="S13" s="765"/>
      <c r="T13" s="765"/>
      <c r="U13" s="765"/>
      <c r="V13" s="765"/>
      <c r="W13" s="765"/>
      <c r="X13" s="765"/>
      <c r="Y13" s="765"/>
      <c r="Z13" s="765">
        <v>1</v>
      </c>
      <c r="AA13" s="765">
        <v>1</v>
      </c>
      <c r="AB13" s="765">
        <v>1</v>
      </c>
      <c r="AC13" s="765">
        <v>47.8152</v>
      </c>
      <c r="AD13" s="765"/>
    </row>
    <row r="14" spans="1:30" s="557" customFormat="1" ht="21.75" customHeight="1">
      <c r="A14" s="763">
        <v>8</v>
      </c>
      <c r="B14" s="764" t="s">
        <v>299</v>
      </c>
      <c r="C14" s="765"/>
      <c r="D14" s="765" t="s">
        <v>150</v>
      </c>
      <c r="E14" s="765"/>
      <c r="F14" s="766">
        <v>72.76</v>
      </c>
      <c r="G14" s="766">
        <v>1.19</v>
      </c>
      <c r="H14" s="762">
        <f t="shared" si="2"/>
        <v>73.95</v>
      </c>
      <c r="I14" s="765">
        <v>922.6</v>
      </c>
      <c r="J14" s="766">
        <v>30</v>
      </c>
      <c r="K14" s="766">
        <v>210</v>
      </c>
      <c r="L14" s="766">
        <v>9</v>
      </c>
      <c r="M14" s="762">
        <f t="shared" si="3"/>
        <v>1132.6</v>
      </c>
      <c r="N14" s="762">
        <v>39</v>
      </c>
      <c r="O14" s="766">
        <v>129</v>
      </c>
      <c r="P14" s="766">
        <v>117</v>
      </c>
      <c r="Q14" s="765"/>
      <c r="R14" s="765">
        <v>2</v>
      </c>
      <c r="S14" s="765"/>
      <c r="T14" s="765">
        <v>2</v>
      </c>
      <c r="U14" s="765"/>
      <c r="V14" s="765"/>
      <c r="W14" s="765">
        <v>317</v>
      </c>
      <c r="X14" s="765">
        <v>20</v>
      </c>
      <c r="Y14" s="765">
        <v>2</v>
      </c>
      <c r="Z14" s="765">
        <v>1</v>
      </c>
      <c r="AA14" s="765">
        <v>4</v>
      </c>
      <c r="AB14" s="765">
        <v>1</v>
      </c>
      <c r="AC14" s="765">
        <v>114.4328</v>
      </c>
      <c r="AD14" s="765">
        <v>6.48</v>
      </c>
    </row>
    <row r="15" spans="1:30" s="557" customFormat="1" ht="21.75" customHeight="1">
      <c r="A15" s="760">
        <v>9</v>
      </c>
      <c r="B15" s="764" t="s">
        <v>300</v>
      </c>
      <c r="C15" s="765"/>
      <c r="D15" s="765" t="s">
        <v>150</v>
      </c>
      <c r="E15" s="765"/>
      <c r="F15" s="766">
        <v>7.46</v>
      </c>
      <c r="G15" s="766">
        <v>0</v>
      </c>
      <c r="H15" s="762">
        <f t="shared" si="2"/>
        <v>7.46</v>
      </c>
      <c r="I15" s="766">
        <v>0</v>
      </c>
      <c r="J15" s="766">
        <v>0</v>
      </c>
      <c r="K15" s="766">
        <v>0</v>
      </c>
      <c r="L15" s="766">
        <v>0</v>
      </c>
      <c r="M15" s="762">
        <f t="shared" si="3"/>
        <v>0</v>
      </c>
      <c r="N15" s="762">
        <f t="shared" si="3"/>
        <v>0</v>
      </c>
      <c r="O15" s="766">
        <v>6</v>
      </c>
      <c r="P15" s="766">
        <v>3</v>
      </c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>
        <v>0</v>
      </c>
      <c r="AD15" s="765">
        <v>0</v>
      </c>
    </row>
    <row r="16" spans="1:30" s="557" customFormat="1" ht="21.75" customHeight="1">
      <c r="A16" s="763">
        <v>10</v>
      </c>
      <c r="B16" s="764" t="s">
        <v>301</v>
      </c>
      <c r="C16" s="765"/>
      <c r="D16" s="765" t="s">
        <v>150</v>
      </c>
      <c r="E16" s="765"/>
      <c r="F16" s="766">
        <v>77.09</v>
      </c>
      <c r="G16" s="766">
        <v>1.61</v>
      </c>
      <c r="H16" s="762">
        <f t="shared" si="2"/>
        <v>78.7</v>
      </c>
      <c r="I16" s="766">
        <v>472.6</v>
      </c>
      <c r="J16" s="766">
        <v>29</v>
      </c>
      <c r="K16" s="766">
        <v>126.3</v>
      </c>
      <c r="L16" s="766">
        <v>10</v>
      </c>
      <c r="M16" s="762">
        <f>K16+I16</f>
        <v>598.9</v>
      </c>
      <c r="N16" s="762">
        <f t="shared" si="3"/>
        <v>39</v>
      </c>
      <c r="O16" s="766">
        <v>132</v>
      </c>
      <c r="P16" s="766">
        <v>123</v>
      </c>
      <c r="Q16" s="765"/>
      <c r="R16" s="765"/>
      <c r="S16" s="765"/>
      <c r="T16" s="765"/>
      <c r="U16" s="765"/>
      <c r="V16" s="765"/>
      <c r="W16" s="765">
        <v>96</v>
      </c>
      <c r="X16" s="765">
        <v>37</v>
      </c>
      <c r="Y16" s="765">
        <v>1</v>
      </c>
      <c r="Z16" s="765">
        <v>1</v>
      </c>
      <c r="AA16" s="765">
        <v>2</v>
      </c>
      <c r="AB16" s="765"/>
      <c r="AC16" s="765">
        <v>67.4821</v>
      </c>
      <c r="AD16" s="765">
        <v>5.26</v>
      </c>
    </row>
    <row r="17" spans="1:30" s="557" customFormat="1" ht="21.75" customHeight="1">
      <c r="A17" s="760">
        <v>11</v>
      </c>
      <c r="B17" s="764" t="s">
        <v>302</v>
      </c>
      <c r="C17" s="765"/>
      <c r="D17" s="765"/>
      <c r="E17" s="765" t="s">
        <v>150</v>
      </c>
      <c r="F17" s="766"/>
      <c r="G17" s="766">
        <v>1.85</v>
      </c>
      <c r="H17" s="762">
        <f t="shared" si="2"/>
        <v>1.85</v>
      </c>
      <c r="I17" s="766"/>
      <c r="J17" s="766"/>
      <c r="K17" s="766">
        <v>100</v>
      </c>
      <c r="L17" s="766">
        <v>1</v>
      </c>
      <c r="M17" s="762">
        <f t="shared" si="3"/>
        <v>100</v>
      </c>
      <c r="N17" s="762">
        <f t="shared" si="3"/>
        <v>1</v>
      </c>
      <c r="O17" s="766">
        <v>3</v>
      </c>
      <c r="P17" s="766">
        <v>3</v>
      </c>
      <c r="Q17" s="765"/>
      <c r="R17" s="765"/>
      <c r="S17" s="765"/>
      <c r="T17" s="765"/>
      <c r="U17" s="765"/>
      <c r="V17" s="765"/>
      <c r="W17" s="765"/>
      <c r="X17" s="765"/>
      <c r="Y17" s="765"/>
      <c r="Z17" s="765">
        <v>1</v>
      </c>
      <c r="AA17" s="765">
        <v>1</v>
      </c>
      <c r="AB17" s="765"/>
      <c r="AC17" s="765">
        <v>34.5439</v>
      </c>
      <c r="AD17" s="765"/>
    </row>
    <row r="18" spans="1:30" s="557" customFormat="1" ht="21.75" customHeight="1">
      <c r="A18" s="763">
        <v>12</v>
      </c>
      <c r="B18" s="765" t="s">
        <v>303</v>
      </c>
      <c r="C18" s="765"/>
      <c r="D18" s="765" t="s">
        <v>150</v>
      </c>
      <c r="E18" s="765"/>
      <c r="F18" s="762">
        <v>19.39</v>
      </c>
      <c r="G18" s="766"/>
      <c r="H18" s="762">
        <v>19.39</v>
      </c>
      <c r="I18" s="766">
        <v>250</v>
      </c>
      <c r="J18" s="766">
        <v>11</v>
      </c>
      <c r="K18" s="766">
        <v>130</v>
      </c>
      <c r="L18" s="766">
        <v>5</v>
      </c>
      <c r="M18" s="762">
        <f t="shared" si="3"/>
        <v>380</v>
      </c>
      <c r="N18" s="762">
        <f t="shared" si="3"/>
        <v>16</v>
      </c>
      <c r="O18" s="766">
        <v>63</v>
      </c>
      <c r="P18" s="766">
        <v>54</v>
      </c>
      <c r="Q18" s="765"/>
      <c r="R18" s="765"/>
      <c r="S18" s="765"/>
      <c r="T18" s="765"/>
      <c r="U18" s="765"/>
      <c r="V18" s="765"/>
      <c r="W18" s="765">
        <v>55</v>
      </c>
      <c r="X18" s="765">
        <v>10</v>
      </c>
      <c r="Y18" s="765">
        <v>1</v>
      </c>
      <c r="Z18" s="765">
        <v>1</v>
      </c>
      <c r="AA18" s="765">
        <v>2</v>
      </c>
      <c r="AB18" s="765">
        <v>1</v>
      </c>
      <c r="AC18" s="765">
        <v>30.0731</v>
      </c>
      <c r="AD18" s="765">
        <v>1.63</v>
      </c>
    </row>
    <row r="19" spans="1:30" s="557" customFormat="1" ht="21.75" customHeight="1">
      <c r="A19" s="760">
        <v>13</v>
      </c>
      <c r="B19" s="765" t="s">
        <v>304</v>
      </c>
      <c r="C19" s="765"/>
      <c r="D19" s="765" t="s">
        <v>150</v>
      </c>
      <c r="E19" s="765"/>
      <c r="F19" s="762">
        <v>21.11</v>
      </c>
      <c r="G19" s="766"/>
      <c r="H19" s="762">
        <v>21.11</v>
      </c>
      <c r="I19" s="766">
        <v>630</v>
      </c>
      <c r="J19" s="766">
        <v>19</v>
      </c>
      <c r="K19" s="766">
        <v>40</v>
      </c>
      <c r="L19" s="766">
        <v>3</v>
      </c>
      <c r="M19" s="762">
        <f t="shared" si="3"/>
        <v>670</v>
      </c>
      <c r="N19" s="762">
        <f t="shared" si="3"/>
        <v>22</v>
      </c>
      <c r="O19" s="765">
        <v>69</v>
      </c>
      <c r="P19" s="765">
        <v>63</v>
      </c>
      <c r="Q19" s="765"/>
      <c r="R19" s="765"/>
      <c r="S19" s="765"/>
      <c r="T19" s="765"/>
      <c r="V19" s="765"/>
      <c r="W19" s="765">
        <v>65</v>
      </c>
      <c r="X19" s="765">
        <v>14</v>
      </c>
      <c r="Y19" s="765">
        <v>1</v>
      </c>
      <c r="Z19" s="765">
        <v>1</v>
      </c>
      <c r="AA19" s="765"/>
      <c r="AB19" s="765"/>
      <c r="AC19" s="765">
        <v>55.0833</v>
      </c>
      <c r="AD19" s="765">
        <v>1.1</v>
      </c>
    </row>
    <row r="20" spans="1:30" s="557" customFormat="1" ht="21.75" customHeight="1">
      <c r="A20" s="763">
        <v>14</v>
      </c>
      <c r="B20" s="765" t="s">
        <v>305</v>
      </c>
      <c r="C20" s="765"/>
      <c r="D20" s="765" t="s">
        <v>150</v>
      </c>
      <c r="E20" s="765"/>
      <c r="F20" s="762">
        <v>23.31</v>
      </c>
      <c r="G20" s="766"/>
      <c r="H20" s="762">
        <v>23.31</v>
      </c>
      <c r="I20" s="766">
        <v>540</v>
      </c>
      <c r="J20" s="766">
        <v>20</v>
      </c>
      <c r="K20" s="766">
        <v>30</v>
      </c>
      <c r="L20" s="766">
        <v>3</v>
      </c>
      <c r="M20" s="762">
        <f t="shared" si="3"/>
        <v>570</v>
      </c>
      <c r="N20" s="762">
        <f t="shared" si="3"/>
        <v>23</v>
      </c>
      <c r="O20" s="766">
        <v>72</v>
      </c>
      <c r="P20" s="766">
        <v>66</v>
      </c>
      <c r="Q20" s="765"/>
      <c r="R20" s="765"/>
      <c r="S20" s="765"/>
      <c r="T20" s="765"/>
      <c r="U20" s="765"/>
      <c r="V20" s="765"/>
      <c r="W20" s="765">
        <v>81</v>
      </c>
      <c r="X20" s="765">
        <v>17</v>
      </c>
      <c r="Y20" s="765">
        <v>1</v>
      </c>
      <c r="Z20" s="765">
        <v>1</v>
      </c>
      <c r="AA20" s="765"/>
      <c r="AB20" s="765"/>
      <c r="AC20" s="765">
        <v>29.9389</v>
      </c>
      <c r="AD20" s="765">
        <v>1.58</v>
      </c>
    </row>
    <row r="21" spans="1:30" s="557" customFormat="1" ht="21.75" customHeight="1">
      <c r="A21" s="760">
        <v>15</v>
      </c>
      <c r="B21" s="765" t="s">
        <v>306</v>
      </c>
      <c r="C21" s="765"/>
      <c r="D21" s="765" t="s">
        <v>150</v>
      </c>
      <c r="E21" s="765"/>
      <c r="F21" s="762">
        <v>54.71</v>
      </c>
      <c r="G21" s="766"/>
      <c r="H21" s="762">
        <v>54.71</v>
      </c>
      <c r="I21" s="766">
        <v>682.6</v>
      </c>
      <c r="J21" s="766">
        <v>32</v>
      </c>
      <c r="K21" s="766">
        <v>50</v>
      </c>
      <c r="L21" s="766">
        <v>3</v>
      </c>
      <c r="M21" s="762">
        <f t="shared" si="3"/>
        <v>732.6</v>
      </c>
      <c r="N21" s="762">
        <f>L21+J21</f>
        <v>35</v>
      </c>
      <c r="O21" s="766">
        <v>114</v>
      </c>
      <c r="P21" s="766">
        <v>105</v>
      </c>
      <c r="Q21" s="765"/>
      <c r="R21" s="765"/>
      <c r="S21" s="765"/>
      <c r="T21" s="765"/>
      <c r="U21" s="765"/>
      <c r="V21" s="765"/>
      <c r="W21" s="765">
        <v>104</v>
      </c>
      <c r="X21" s="765">
        <v>19</v>
      </c>
      <c r="Y21" s="765">
        <v>1</v>
      </c>
      <c r="Z21" s="765">
        <v>1</v>
      </c>
      <c r="AA21" s="765"/>
      <c r="AB21" s="765"/>
      <c r="AC21" s="765">
        <v>40.0804</v>
      </c>
      <c r="AD21" s="765">
        <v>1.5</v>
      </c>
    </row>
    <row r="22" spans="1:30" s="557" customFormat="1" ht="21.75" customHeight="1">
      <c r="A22" s="763">
        <v>16</v>
      </c>
      <c r="B22" s="767" t="s">
        <v>307</v>
      </c>
      <c r="C22" s="763"/>
      <c r="D22" s="765" t="s">
        <v>150</v>
      </c>
      <c r="E22" s="763"/>
      <c r="F22" s="767">
        <v>39.64</v>
      </c>
      <c r="G22" s="767"/>
      <c r="H22" s="767">
        <f t="shared" si="2"/>
        <v>39.64</v>
      </c>
      <c r="I22" s="767">
        <v>156.3</v>
      </c>
      <c r="J22" s="767">
        <v>17</v>
      </c>
      <c r="K22" s="767">
        <v>1655</v>
      </c>
      <c r="L22" s="767">
        <v>14</v>
      </c>
      <c r="M22" s="767">
        <f t="shared" si="3"/>
        <v>1811.3</v>
      </c>
      <c r="N22" s="767">
        <f t="shared" si="3"/>
        <v>31</v>
      </c>
      <c r="O22" s="767">
        <v>90</v>
      </c>
      <c r="P22" s="767">
        <v>90</v>
      </c>
      <c r="Q22" s="767"/>
      <c r="R22" s="767">
        <v>2</v>
      </c>
      <c r="S22" s="767"/>
      <c r="T22" s="767">
        <v>2</v>
      </c>
      <c r="U22" s="767"/>
      <c r="V22" s="767"/>
      <c r="W22" s="767">
        <v>24</v>
      </c>
      <c r="X22" s="767">
        <v>12</v>
      </c>
      <c r="Y22" s="767">
        <v>3</v>
      </c>
      <c r="Z22" s="767">
        <v>1</v>
      </c>
      <c r="AA22" s="767">
        <v>2</v>
      </c>
      <c r="AB22" s="767"/>
      <c r="AC22" s="767">
        <v>264.17</v>
      </c>
      <c r="AD22" s="765">
        <v>6.62</v>
      </c>
    </row>
    <row r="23" spans="1:30" s="557" customFormat="1" ht="21.75" customHeight="1">
      <c r="A23" s="760">
        <v>17</v>
      </c>
      <c r="B23" s="767" t="s">
        <v>308</v>
      </c>
      <c r="C23" s="763"/>
      <c r="D23" s="765" t="s">
        <v>150</v>
      </c>
      <c r="E23" s="763"/>
      <c r="F23" s="767">
        <v>22.54</v>
      </c>
      <c r="G23" s="767"/>
      <c r="H23" s="767">
        <f t="shared" si="2"/>
        <v>22.54</v>
      </c>
      <c r="I23" s="767">
        <v>105.2</v>
      </c>
      <c r="J23" s="767">
        <v>8</v>
      </c>
      <c r="K23" s="767">
        <v>70</v>
      </c>
      <c r="L23" s="767">
        <v>5</v>
      </c>
      <c r="M23" s="767">
        <f t="shared" si="3"/>
        <v>175.2</v>
      </c>
      <c r="N23" s="767">
        <f t="shared" si="3"/>
        <v>13</v>
      </c>
      <c r="O23" s="767">
        <v>42</v>
      </c>
      <c r="P23" s="767">
        <v>39</v>
      </c>
      <c r="Q23" s="767"/>
      <c r="R23" s="767">
        <v>1</v>
      </c>
      <c r="S23" s="767"/>
      <c r="T23" s="767">
        <v>1</v>
      </c>
      <c r="U23" s="767"/>
      <c r="V23" s="767"/>
      <c r="W23" s="767">
        <v>11</v>
      </c>
      <c r="X23" s="767">
        <v>6</v>
      </c>
      <c r="Y23" s="767">
        <v>2</v>
      </c>
      <c r="Z23" s="767">
        <v>1</v>
      </c>
      <c r="AA23" s="767">
        <v>2</v>
      </c>
      <c r="AB23" s="767"/>
      <c r="AC23" s="767">
        <v>14.5341</v>
      </c>
      <c r="AD23" s="765">
        <v>5.19</v>
      </c>
    </row>
    <row r="24" spans="1:30" s="557" customFormat="1" ht="21.75" customHeight="1">
      <c r="A24" s="763">
        <v>18</v>
      </c>
      <c r="B24" s="767" t="s">
        <v>309</v>
      </c>
      <c r="C24" s="763"/>
      <c r="D24" s="763"/>
      <c r="E24" s="765" t="s">
        <v>150</v>
      </c>
      <c r="F24" s="767"/>
      <c r="G24" s="768">
        <v>33.55</v>
      </c>
      <c r="H24" s="767">
        <f t="shared" si="2"/>
        <v>33.55</v>
      </c>
      <c r="I24" s="767"/>
      <c r="J24" s="767"/>
      <c r="K24" s="767">
        <v>1265</v>
      </c>
      <c r="L24" s="767">
        <v>14</v>
      </c>
      <c r="M24" s="774">
        <f t="shared" si="3"/>
        <v>1265</v>
      </c>
      <c r="N24" s="767">
        <f t="shared" si="3"/>
        <v>14</v>
      </c>
      <c r="O24" s="767">
        <v>42</v>
      </c>
      <c r="P24" s="767">
        <v>42</v>
      </c>
      <c r="Q24" s="767"/>
      <c r="R24" s="767"/>
      <c r="S24" s="767"/>
      <c r="T24" s="767"/>
      <c r="U24" s="767"/>
      <c r="V24" s="767"/>
      <c r="W24" s="767"/>
      <c r="X24" s="767">
        <v>1</v>
      </c>
      <c r="Y24" s="767">
        <v>1</v>
      </c>
      <c r="Z24" s="767">
        <v>1</v>
      </c>
      <c r="AA24" s="767">
        <v>1</v>
      </c>
      <c r="AB24" s="767">
        <v>1</v>
      </c>
      <c r="AC24" s="767">
        <v>44.678</v>
      </c>
      <c r="AD24" s="765">
        <v>0</v>
      </c>
    </row>
    <row r="25" spans="1:30" s="557" customFormat="1" ht="21.75" customHeight="1">
      <c r="A25" s="763"/>
      <c r="B25" s="763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7"/>
      <c r="V25" s="767"/>
      <c r="W25" s="767"/>
      <c r="X25" s="767"/>
      <c r="Y25" s="767"/>
      <c r="Z25" s="767"/>
      <c r="AA25" s="767"/>
      <c r="AB25" s="767"/>
      <c r="AC25" s="767"/>
      <c r="AD25" s="765"/>
    </row>
    <row r="26" spans="1:30" ht="21.75" customHeight="1">
      <c r="A26" s="341" t="s">
        <v>122</v>
      </c>
      <c r="B26" s="335"/>
      <c r="C26" s="340"/>
      <c r="D26" s="340"/>
      <c r="E26" s="340"/>
      <c r="F26" s="769">
        <f aca="true" t="shared" si="4" ref="F26:R26">SUM(F7:F24)</f>
        <v>581.9</v>
      </c>
      <c r="G26" s="354">
        <f t="shared" si="4"/>
        <v>104.45999999999998</v>
      </c>
      <c r="H26" s="354">
        <f t="shared" si="4"/>
        <v>686.3599999999998</v>
      </c>
      <c r="I26" s="775">
        <f t="shared" si="4"/>
        <v>12166.900000000001</v>
      </c>
      <c r="J26" s="354">
        <f t="shared" si="4"/>
        <v>340</v>
      </c>
      <c r="K26" s="354">
        <f t="shared" si="4"/>
        <v>22596.3</v>
      </c>
      <c r="L26" s="776">
        <f t="shared" si="4"/>
        <v>178</v>
      </c>
      <c r="M26" s="354">
        <f t="shared" si="4"/>
        <v>34763.2</v>
      </c>
      <c r="N26" s="301">
        <f t="shared" si="4"/>
        <v>518</v>
      </c>
      <c r="O26" s="354">
        <f t="shared" si="4"/>
        <v>1728</v>
      </c>
      <c r="P26" s="354">
        <f t="shared" si="4"/>
        <v>1554</v>
      </c>
      <c r="Q26" s="354"/>
      <c r="R26" s="354">
        <f t="shared" si="4"/>
        <v>20</v>
      </c>
      <c r="S26" s="354"/>
      <c r="T26" s="354">
        <f>SUM(T7:T24)</f>
        <v>20</v>
      </c>
      <c r="U26" s="354"/>
      <c r="V26" s="354"/>
      <c r="W26" s="354">
        <f aca="true" t="shared" si="5" ref="W26:AC26">SUM(W7:W24)</f>
        <v>1475</v>
      </c>
      <c r="X26" s="354">
        <f t="shared" si="5"/>
        <v>309</v>
      </c>
      <c r="Y26" s="354">
        <f t="shared" si="5"/>
        <v>46</v>
      </c>
      <c r="Z26" s="354">
        <f t="shared" si="5"/>
        <v>19</v>
      </c>
      <c r="AA26" s="354">
        <f t="shared" si="5"/>
        <v>84</v>
      </c>
      <c r="AB26" s="354">
        <f t="shared" si="5"/>
        <v>23</v>
      </c>
      <c r="AC26" s="354">
        <f t="shared" si="5"/>
        <v>2602.6405999999997</v>
      </c>
      <c r="AD26" s="299">
        <v>5.44</v>
      </c>
    </row>
    <row r="27" spans="1:30" ht="21.75" customHeight="1">
      <c r="A27" s="342" t="s">
        <v>209</v>
      </c>
      <c r="B27" s="343"/>
      <c r="C27" s="344"/>
      <c r="D27" s="344"/>
      <c r="E27" s="344"/>
      <c r="F27" s="354">
        <f>F26</f>
        <v>581.9</v>
      </c>
      <c r="G27" s="354">
        <f aca="true" t="shared" si="6" ref="G27:T27">G26</f>
        <v>104.45999999999998</v>
      </c>
      <c r="H27" s="354">
        <f t="shared" si="6"/>
        <v>686.3599999999998</v>
      </c>
      <c r="I27" s="354">
        <f t="shared" si="6"/>
        <v>12166.900000000001</v>
      </c>
      <c r="J27" s="354">
        <f t="shared" si="6"/>
        <v>340</v>
      </c>
      <c r="K27" s="354">
        <f t="shared" si="6"/>
        <v>22596.3</v>
      </c>
      <c r="L27" s="354">
        <f t="shared" si="6"/>
        <v>178</v>
      </c>
      <c r="M27" s="354">
        <f t="shared" si="6"/>
        <v>34763.2</v>
      </c>
      <c r="N27" s="354">
        <f t="shared" si="6"/>
        <v>518</v>
      </c>
      <c r="O27" s="354">
        <f t="shared" si="6"/>
        <v>1728</v>
      </c>
      <c r="P27" s="354">
        <f t="shared" si="6"/>
        <v>1554</v>
      </c>
      <c r="Q27" s="354"/>
      <c r="R27" s="354">
        <f t="shared" si="6"/>
        <v>20</v>
      </c>
      <c r="S27" s="354"/>
      <c r="T27" s="354">
        <f t="shared" si="6"/>
        <v>20</v>
      </c>
      <c r="U27" s="354"/>
      <c r="V27" s="354"/>
      <c r="W27" s="354">
        <f>W26</f>
        <v>1475</v>
      </c>
      <c r="X27" s="354">
        <f aca="true" t="shared" si="7" ref="X27:AD27">X26</f>
        <v>309</v>
      </c>
      <c r="Y27" s="354">
        <f t="shared" si="7"/>
        <v>46</v>
      </c>
      <c r="Z27" s="354">
        <f t="shared" si="7"/>
        <v>19</v>
      </c>
      <c r="AA27" s="354">
        <f t="shared" si="7"/>
        <v>84</v>
      </c>
      <c r="AB27" s="354">
        <f t="shared" si="7"/>
        <v>23</v>
      </c>
      <c r="AC27" s="354">
        <f t="shared" si="7"/>
        <v>2602.6405999999997</v>
      </c>
      <c r="AD27" s="299">
        <f t="shared" si="7"/>
        <v>5.44</v>
      </c>
    </row>
    <row r="28" spans="1:30" ht="14.25" customHeight="1">
      <c r="A28" s="770" t="s">
        <v>310</v>
      </c>
      <c r="B28" s="771"/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1"/>
      <c r="P28" s="771"/>
      <c r="Q28" s="771"/>
      <c r="R28" s="771"/>
      <c r="S28" s="771"/>
      <c r="T28" s="771"/>
      <c r="U28" s="771"/>
      <c r="V28" s="771"/>
      <c r="W28" s="771"/>
      <c r="X28" s="771"/>
      <c r="Y28" s="771"/>
      <c r="Z28" s="771"/>
      <c r="AA28" s="771"/>
      <c r="AB28" s="771"/>
      <c r="AC28" s="771"/>
      <c r="AD28" s="781"/>
    </row>
    <row r="29" spans="1:30" ht="57.75" customHeight="1">
      <c r="A29" s="772"/>
      <c r="B29" s="773"/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3"/>
      <c r="T29" s="773"/>
      <c r="U29" s="773"/>
      <c r="V29" s="773"/>
      <c r="W29" s="773"/>
      <c r="X29" s="773"/>
      <c r="Y29" s="773"/>
      <c r="Z29" s="773"/>
      <c r="AA29" s="773"/>
      <c r="AB29" s="773"/>
      <c r="AC29" s="773"/>
      <c r="AD29" s="782"/>
    </row>
    <row r="30" spans="4:26" ht="21.75" customHeight="1">
      <c r="D30" s="660" t="s">
        <v>311</v>
      </c>
      <c r="E30" s="660"/>
      <c r="F30" s="660"/>
      <c r="O30" s="294" t="s">
        <v>177</v>
      </c>
      <c r="Z30" s="294" t="s">
        <v>211</v>
      </c>
    </row>
    <row r="31" ht="21.75" customHeight="1"/>
    <row r="32" ht="21.75" customHeight="1"/>
    <row r="33" spans="4:5" ht="21.75" customHeight="1">
      <c r="D33" s="661"/>
      <c r="E33" s="661"/>
    </row>
    <row r="34" spans="4:5" ht="21.75" customHeight="1">
      <c r="D34" s="661"/>
      <c r="E34" s="661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24">
    <mergeCell ref="A1:AD1"/>
    <mergeCell ref="C3:E3"/>
    <mergeCell ref="F3:H3"/>
    <mergeCell ref="I3:N3"/>
    <mergeCell ref="Q3:T3"/>
    <mergeCell ref="U3:V3"/>
    <mergeCell ref="W3:Y3"/>
    <mergeCell ref="AA3:AB3"/>
    <mergeCell ref="A26:B26"/>
    <mergeCell ref="A27:B27"/>
    <mergeCell ref="D30:F30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  <mergeCell ref="A28:AD29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7"/>
  <sheetViews>
    <sheetView zoomScale="75" zoomScaleNormal="75" workbookViewId="0" topLeftCell="A1">
      <pane xSplit="5" ySplit="6" topLeftCell="F13" activePane="bottomRight" state="frozen"/>
      <selection pane="bottomRight" activeCell="AG6" sqref="AG6"/>
    </sheetView>
  </sheetViews>
  <sheetFormatPr defaultColWidth="9.00390625" defaultRowHeight="14.25"/>
  <cols>
    <col min="1" max="1" width="3.125" style="294" customWidth="1"/>
    <col min="2" max="2" width="10.125" style="294" customWidth="1"/>
    <col min="3" max="3" width="2.25390625" style="294" customWidth="1"/>
    <col min="4" max="4" width="2.375" style="294" customWidth="1"/>
    <col min="5" max="5" width="2.50390625" style="294" customWidth="1"/>
    <col min="6" max="6" width="8.25390625" style="294" customWidth="1"/>
    <col min="7" max="7" width="7.375" style="294" customWidth="1"/>
    <col min="8" max="8" width="7.875" style="294" customWidth="1"/>
    <col min="9" max="9" width="8.875" style="294" customWidth="1"/>
    <col min="10" max="10" width="6.125" style="294" customWidth="1"/>
    <col min="11" max="11" width="9.50390625" style="294" customWidth="1"/>
    <col min="12" max="12" width="6.50390625" style="294" customWidth="1"/>
    <col min="13" max="13" width="8.375" style="294" customWidth="1"/>
    <col min="14" max="14" width="5.50390625" style="294" bestFit="1" customWidth="1"/>
    <col min="15" max="15" width="6.75390625" style="294" customWidth="1"/>
    <col min="16" max="16" width="5.75390625" style="294" customWidth="1"/>
    <col min="17" max="17" width="3.75390625" style="294" customWidth="1"/>
    <col min="18" max="18" width="4.00390625" style="294" customWidth="1"/>
    <col min="19" max="19" width="3.625" style="294" customWidth="1"/>
    <col min="20" max="20" width="6.00390625" style="294" customWidth="1"/>
    <col min="21" max="21" width="6.875" style="294" customWidth="1"/>
    <col min="22" max="22" width="5.375" style="294" customWidth="1"/>
    <col min="23" max="24" width="6.75390625" style="294" customWidth="1"/>
    <col min="25" max="25" width="6.375" style="294" customWidth="1"/>
    <col min="26" max="26" width="7.625" style="294" customWidth="1"/>
    <col min="27" max="27" width="6.50390625" style="294" customWidth="1"/>
    <col min="28" max="28" width="5.875" style="294" customWidth="1"/>
    <col min="29" max="29" width="13.00390625" style="294" customWidth="1"/>
    <col min="30" max="30" width="6.75390625" style="294" customWidth="1"/>
    <col min="31" max="31" width="5.625" style="294" customWidth="1"/>
    <col min="32" max="32" width="4.375" style="294" customWidth="1"/>
    <col min="33" max="35" width="4.75390625" style="294" customWidth="1"/>
    <col min="36" max="36" width="5.50390625" style="294" customWidth="1"/>
    <col min="37" max="37" width="5.25390625" style="294" customWidth="1"/>
    <col min="38" max="38" width="4.375" style="294" customWidth="1"/>
    <col min="39" max="16384" width="9.00390625" style="294" customWidth="1"/>
  </cols>
  <sheetData>
    <row r="1" spans="1:30" ht="20.25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28" ht="15.75">
      <c r="A2" s="294" t="s">
        <v>98</v>
      </c>
      <c r="V2" s="294" t="s">
        <v>312</v>
      </c>
      <c r="AB2" s="294" t="s">
        <v>101</v>
      </c>
    </row>
    <row r="3" spans="1:30" s="620" customFormat="1" ht="15.75">
      <c r="A3" s="333" t="s">
        <v>102</v>
      </c>
      <c r="B3" s="334" t="s">
        <v>103</v>
      </c>
      <c r="C3" s="334" t="s">
        <v>104</v>
      </c>
      <c r="D3" s="334"/>
      <c r="E3" s="334"/>
      <c r="F3" s="335" t="s">
        <v>105</v>
      </c>
      <c r="G3" s="336"/>
      <c r="H3" s="336"/>
      <c r="I3" s="336" t="s">
        <v>106</v>
      </c>
      <c r="J3" s="336"/>
      <c r="K3" s="336"/>
      <c r="L3" s="336"/>
      <c r="M3" s="336"/>
      <c r="N3" s="336"/>
      <c r="O3" s="333" t="s">
        <v>107</v>
      </c>
      <c r="P3" s="333" t="s">
        <v>108</v>
      </c>
      <c r="Q3" s="341" t="s">
        <v>109</v>
      </c>
      <c r="R3" s="349"/>
      <c r="S3" s="349"/>
      <c r="T3" s="335"/>
      <c r="U3" s="336" t="s">
        <v>110</v>
      </c>
      <c r="V3" s="336"/>
      <c r="W3" s="341" t="s">
        <v>111</v>
      </c>
      <c r="X3" s="349"/>
      <c r="Y3" s="335"/>
      <c r="Z3" s="333" t="s">
        <v>112</v>
      </c>
      <c r="AA3" s="336" t="s">
        <v>113</v>
      </c>
      <c r="AB3" s="336"/>
      <c r="AC3" s="333" t="s">
        <v>114</v>
      </c>
      <c r="AD3" s="333" t="s">
        <v>115</v>
      </c>
    </row>
    <row r="4" spans="1:30" s="620" customFormat="1" ht="15.75" customHeight="1">
      <c r="A4" s="337"/>
      <c r="B4" s="334"/>
      <c r="C4" s="334" t="s">
        <v>116</v>
      </c>
      <c r="D4" s="334" t="s">
        <v>117</v>
      </c>
      <c r="E4" s="334" t="s">
        <v>118</v>
      </c>
      <c r="F4" s="303" t="s">
        <v>119</v>
      </c>
      <c r="G4" s="304"/>
      <c r="H4" s="304"/>
      <c r="I4" s="336" t="s">
        <v>120</v>
      </c>
      <c r="J4" s="336"/>
      <c r="K4" s="336" t="s">
        <v>121</v>
      </c>
      <c r="L4" s="336"/>
      <c r="M4" s="336" t="s">
        <v>122</v>
      </c>
      <c r="N4" s="336"/>
      <c r="O4" s="337"/>
      <c r="P4" s="347" t="s">
        <v>123</v>
      </c>
      <c r="Q4" s="333"/>
      <c r="R4" s="333"/>
      <c r="S4" s="333"/>
      <c r="T4" s="333"/>
      <c r="U4" s="336" t="s">
        <v>124</v>
      </c>
      <c r="V4" s="336"/>
      <c r="W4" s="333" t="s">
        <v>125</v>
      </c>
      <c r="X4" s="333" t="s">
        <v>126</v>
      </c>
      <c r="Y4" s="333" t="s">
        <v>126</v>
      </c>
      <c r="Z4" s="337" t="s">
        <v>127</v>
      </c>
      <c r="AA4" s="336" t="s">
        <v>128</v>
      </c>
      <c r="AB4" s="336"/>
      <c r="AC4" s="338" t="s">
        <v>129</v>
      </c>
      <c r="AD4" s="338" t="s">
        <v>130</v>
      </c>
    </row>
    <row r="5" spans="1:30" s="620" customFormat="1" ht="15.75" customHeight="1">
      <c r="A5" s="337"/>
      <c r="B5" s="334"/>
      <c r="C5" s="334"/>
      <c r="D5" s="334"/>
      <c r="E5" s="334"/>
      <c r="F5" s="303"/>
      <c r="G5" s="304"/>
      <c r="H5" s="304"/>
      <c r="I5" s="336"/>
      <c r="J5" s="336"/>
      <c r="K5" s="336"/>
      <c r="L5" s="336"/>
      <c r="M5" s="336"/>
      <c r="N5" s="336"/>
      <c r="O5" s="338" t="s">
        <v>131</v>
      </c>
      <c r="P5" s="348" t="s">
        <v>132</v>
      </c>
      <c r="Q5" s="337"/>
      <c r="R5" s="337" t="s">
        <v>133</v>
      </c>
      <c r="S5" s="337"/>
      <c r="T5" s="337"/>
      <c r="U5" s="336"/>
      <c r="V5" s="336"/>
      <c r="W5" s="337"/>
      <c r="X5" s="337"/>
      <c r="Y5" s="337"/>
      <c r="Z5" s="338" t="s">
        <v>134</v>
      </c>
      <c r="AA5" s="336"/>
      <c r="AB5" s="336"/>
      <c r="AC5" s="333" t="s">
        <v>135</v>
      </c>
      <c r="AD5" s="329" t="s">
        <v>136</v>
      </c>
    </row>
    <row r="6" spans="1:30" s="620" customFormat="1" ht="15.75">
      <c r="A6" s="338" t="s">
        <v>137</v>
      </c>
      <c r="B6" s="334"/>
      <c r="C6" s="334"/>
      <c r="D6" s="334"/>
      <c r="E6" s="334"/>
      <c r="F6" s="335" t="s">
        <v>120</v>
      </c>
      <c r="G6" s="336" t="s">
        <v>121</v>
      </c>
      <c r="H6" s="336" t="s">
        <v>122</v>
      </c>
      <c r="I6" s="336" t="s">
        <v>138</v>
      </c>
      <c r="J6" s="336" t="s">
        <v>139</v>
      </c>
      <c r="K6" s="336" t="s">
        <v>138</v>
      </c>
      <c r="L6" s="336" t="s">
        <v>139</v>
      </c>
      <c r="M6" s="336" t="s">
        <v>138</v>
      </c>
      <c r="N6" s="336" t="s">
        <v>139</v>
      </c>
      <c r="O6" s="336" t="s">
        <v>128</v>
      </c>
      <c r="P6" s="336" t="s">
        <v>128</v>
      </c>
      <c r="Q6" s="326" t="s">
        <v>140</v>
      </c>
      <c r="R6" s="338" t="s">
        <v>141</v>
      </c>
      <c r="S6" s="338" t="s">
        <v>142</v>
      </c>
      <c r="T6" s="338" t="s">
        <v>122</v>
      </c>
      <c r="U6" s="336" t="s">
        <v>138</v>
      </c>
      <c r="V6" s="336" t="s">
        <v>139</v>
      </c>
      <c r="W6" s="338"/>
      <c r="X6" s="338" t="s">
        <v>143</v>
      </c>
      <c r="Y6" s="338" t="s">
        <v>144</v>
      </c>
      <c r="Z6" s="336" t="s">
        <v>145</v>
      </c>
      <c r="AA6" s="304" t="s">
        <v>146</v>
      </c>
      <c r="AB6" s="304" t="s">
        <v>147</v>
      </c>
      <c r="AC6" s="338" t="s">
        <v>148</v>
      </c>
      <c r="AD6" s="326"/>
    </row>
    <row r="7" spans="1:30" ht="21.75" customHeight="1">
      <c r="A7" s="743">
        <v>1</v>
      </c>
      <c r="B7" s="362" t="s">
        <v>313</v>
      </c>
      <c r="C7" s="362" t="s">
        <v>150</v>
      </c>
      <c r="D7" s="473"/>
      <c r="E7" s="362"/>
      <c r="F7" s="362">
        <v>8.1</v>
      </c>
      <c r="G7" s="362"/>
      <c r="H7" s="367">
        <f>SUM(F7:G7)</f>
        <v>8.1</v>
      </c>
      <c r="I7" s="362">
        <v>3620</v>
      </c>
      <c r="J7" s="362">
        <v>14</v>
      </c>
      <c r="K7" s="362">
        <v>4871</v>
      </c>
      <c r="L7" s="362">
        <v>31</v>
      </c>
      <c r="M7" s="367">
        <f>I7+K7</f>
        <v>8491</v>
      </c>
      <c r="N7" s="367">
        <f>J7+L7</f>
        <v>45</v>
      </c>
      <c r="O7" s="362">
        <v>135</v>
      </c>
      <c r="P7" s="362">
        <v>135</v>
      </c>
      <c r="Q7" s="362"/>
      <c r="R7" s="362">
        <v>2</v>
      </c>
      <c r="S7" s="362"/>
      <c r="T7" s="362">
        <v>2</v>
      </c>
      <c r="U7" s="362"/>
      <c r="V7" s="362"/>
      <c r="W7" s="362">
        <v>7</v>
      </c>
      <c r="X7" s="362">
        <v>54</v>
      </c>
      <c r="Y7" s="362"/>
      <c r="Z7" s="362"/>
      <c r="AA7" s="362">
        <v>126</v>
      </c>
      <c r="AB7" s="362"/>
      <c r="AC7" s="753">
        <v>1682.8474</v>
      </c>
      <c r="AD7" s="362">
        <v>4.85</v>
      </c>
    </row>
    <row r="8" spans="1:30" ht="21.75" customHeight="1">
      <c r="A8" s="548">
        <v>2</v>
      </c>
      <c r="B8" s="362" t="s">
        <v>314</v>
      </c>
      <c r="C8" s="362"/>
      <c r="D8" s="473" t="s">
        <v>150</v>
      </c>
      <c r="E8" s="362"/>
      <c r="F8" s="362">
        <v>211.53</v>
      </c>
      <c r="G8" s="362">
        <v>11.79</v>
      </c>
      <c r="H8" s="367">
        <f aca="true" t="shared" si="0" ref="H8:H27">SUM(F8:G8)</f>
        <v>223.32</v>
      </c>
      <c r="I8" s="362">
        <v>2609.3</v>
      </c>
      <c r="J8" s="362">
        <v>113</v>
      </c>
      <c r="K8" s="362">
        <v>4856.3</v>
      </c>
      <c r="L8" s="362">
        <v>43</v>
      </c>
      <c r="M8" s="367">
        <f aca="true" t="shared" si="1" ref="M8:N24">I8+K8</f>
        <v>7465.6</v>
      </c>
      <c r="N8" s="367">
        <f t="shared" si="1"/>
        <v>156</v>
      </c>
      <c r="O8" s="362">
        <v>456</v>
      </c>
      <c r="P8" s="362">
        <v>456</v>
      </c>
      <c r="Q8" s="362"/>
      <c r="R8" s="362">
        <v>10</v>
      </c>
      <c r="S8" s="362"/>
      <c r="T8" s="362">
        <v>10</v>
      </c>
      <c r="U8" s="362"/>
      <c r="V8" s="362"/>
      <c r="W8" s="362">
        <v>14</v>
      </c>
      <c r="X8" s="362">
        <v>71</v>
      </c>
      <c r="Y8" s="362"/>
      <c r="Z8" s="362"/>
      <c r="AA8" s="362">
        <v>9</v>
      </c>
      <c r="AB8" s="362"/>
      <c r="AC8" s="753">
        <v>517.4574</v>
      </c>
      <c r="AD8" s="362">
        <v>6.97</v>
      </c>
    </row>
    <row r="9" spans="1:30" ht="21.75" customHeight="1">
      <c r="A9" s="548">
        <v>3</v>
      </c>
      <c r="B9" s="362" t="s">
        <v>315</v>
      </c>
      <c r="C9" s="362"/>
      <c r="D9" s="473" t="s">
        <v>150</v>
      </c>
      <c r="E9" s="362"/>
      <c r="F9" s="362">
        <v>17.35</v>
      </c>
      <c r="G9" s="362"/>
      <c r="H9" s="367">
        <f t="shared" si="0"/>
        <v>17.35</v>
      </c>
      <c r="I9" s="362">
        <v>811.3</v>
      </c>
      <c r="J9" s="362">
        <v>18</v>
      </c>
      <c r="K9" s="362">
        <v>820</v>
      </c>
      <c r="L9" s="362">
        <v>8</v>
      </c>
      <c r="M9" s="367">
        <f t="shared" si="1"/>
        <v>1631.3</v>
      </c>
      <c r="N9" s="367">
        <f t="shared" si="1"/>
        <v>26</v>
      </c>
      <c r="O9" s="362">
        <v>105</v>
      </c>
      <c r="P9" s="362">
        <v>105</v>
      </c>
      <c r="Q9" s="362"/>
      <c r="R9" s="362">
        <v>1</v>
      </c>
      <c r="S9" s="362"/>
      <c r="T9" s="362">
        <f>Q9+R9+S9</f>
        <v>1</v>
      </c>
      <c r="U9" s="362"/>
      <c r="V9" s="362"/>
      <c r="W9" s="362"/>
      <c r="X9" s="362">
        <v>21</v>
      </c>
      <c r="Y9" s="362"/>
      <c r="Z9" s="362"/>
      <c r="AA9" s="362">
        <v>15</v>
      </c>
      <c r="AB9" s="362"/>
      <c r="AC9" s="753">
        <v>241.4773</v>
      </c>
      <c r="AD9" s="362">
        <v>7.3</v>
      </c>
    </row>
    <row r="10" spans="1:30" ht="21.75" customHeight="1">
      <c r="A10" s="743">
        <v>4</v>
      </c>
      <c r="B10" s="362" t="s">
        <v>316</v>
      </c>
      <c r="C10" s="362"/>
      <c r="D10" s="362"/>
      <c r="E10" s="362" t="s">
        <v>150</v>
      </c>
      <c r="F10" s="362"/>
      <c r="G10" s="362">
        <v>21.247</v>
      </c>
      <c r="H10" s="367">
        <f t="shared" si="0"/>
        <v>21.247</v>
      </c>
      <c r="I10" s="362"/>
      <c r="J10" s="362"/>
      <c r="K10" s="362">
        <v>2000</v>
      </c>
      <c r="L10" s="362">
        <v>4</v>
      </c>
      <c r="M10" s="367">
        <f t="shared" si="1"/>
        <v>2000</v>
      </c>
      <c r="N10" s="367">
        <f t="shared" si="1"/>
        <v>4</v>
      </c>
      <c r="O10" s="362">
        <v>12</v>
      </c>
      <c r="P10" s="362">
        <v>12</v>
      </c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>
        <v>2</v>
      </c>
      <c r="AB10" s="362"/>
      <c r="AC10" s="753">
        <v>77.8294</v>
      </c>
      <c r="AD10" s="362"/>
    </row>
    <row r="11" spans="1:30" ht="21.75" customHeight="1">
      <c r="A11" s="548">
        <v>5</v>
      </c>
      <c r="B11" s="362" t="s">
        <v>317</v>
      </c>
      <c r="C11" s="362"/>
      <c r="D11" s="362"/>
      <c r="E11" s="362" t="s">
        <v>150</v>
      </c>
      <c r="F11" s="362"/>
      <c r="G11" s="362">
        <v>17.325</v>
      </c>
      <c r="H11" s="367">
        <f t="shared" si="0"/>
        <v>17.325</v>
      </c>
      <c r="I11" s="362"/>
      <c r="J11" s="362"/>
      <c r="K11" s="362">
        <v>1260</v>
      </c>
      <c r="L11" s="362">
        <v>4</v>
      </c>
      <c r="M11" s="367">
        <f t="shared" si="1"/>
        <v>1260</v>
      </c>
      <c r="N11" s="367">
        <f t="shared" si="1"/>
        <v>4</v>
      </c>
      <c r="O11" s="362">
        <v>12</v>
      </c>
      <c r="P11" s="362">
        <v>12</v>
      </c>
      <c r="Q11" s="362"/>
      <c r="R11" s="362"/>
      <c r="S11" s="362"/>
      <c r="T11" s="362">
        <f>Q11+R11+S11</f>
        <v>0</v>
      </c>
      <c r="U11" s="362"/>
      <c r="V11" s="362"/>
      <c r="W11" s="362"/>
      <c r="X11" s="362"/>
      <c r="Y11" s="362"/>
      <c r="Z11" s="362"/>
      <c r="AA11" s="362">
        <v>2</v>
      </c>
      <c r="AB11" s="362"/>
      <c r="AC11" s="753">
        <v>80.7</v>
      </c>
      <c r="AD11" s="362"/>
    </row>
    <row r="12" spans="1:30" ht="21.75" customHeight="1">
      <c r="A12" s="548">
        <v>6</v>
      </c>
      <c r="B12" s="362" t="s">
        <v>318</v>
      </c>
      <c r="C12" s="362"/>
      <c r="D12" s="473" t="s">
        <v>150</v>
      </c>
      <c r="E12" s="362"/>
      <c r="F12" s="362">
        <v>35.52</v>
      </c>
      <c r="G12" s="362"/>
      <c r="H12" s="367">
        <f t="shared" si="0"/>
        <v>35.52</v>
      </c>
      <c r="I12" s="362">
        <v>340</v>
      </c>
      <c r="J12" s="362">
        <v>16</v>
      </c>
      <c r="K12" s="362"/>
      <c r="L12" s="362"/>
      <c r="M12" s="367">
        <f t="shared" si="1"/>
        <v>340</v>
      </c>
      <c r="N12" s="367">
        <f>J12+L12</f>
        <v>16</v>
      </c>
      <c r="O12" s="362">
        <v>48</v>
      </c>
      <c r="P12" s="362">
        <v>48</v>
      </c>
      <c r="Q12" s="362"/>
      <c r="R12" s="362">
        <v>2</v>
      </c>
      <c r="S12" s="362"/>
      <c r="T12" s="362">
        <v>2</v>
      </c>
      <c r="U12" s="362"/>
      <c r="V12" s="362"/>
      <c r="W12" s="362">
        <v>3</v>
      </c>
      <c r="X12" s="362">
        <v>15</v>
      </c>
      <c r="Y12" s="362"/>
      <c r="Z12" s="362"/>
      <c r="AA12" s="362"/>
      <c r="AB12" s="362"/>
      <c r="AC12" s="753">
        <v>21.6064</v>
      </c>
      <c r="AD12" s="362">
        <v>6.07</v>
      </c>
    </row>
    <row r="13" spans="1:30" ht="21.75" customHeight="1">
      <c r="A13" s="743">
        <v>7</v>
      </c>
      <c r="B13" s="362" t="s">
        <v>319</v>
      </c>
      <c r="C13" s="362"/>
      <c r="D13" s="473"/>
      <c r="E13" s="473" t="s">
        <v>150</v>
      </c>
      <c r="F13" s="362"/>
      <c r="G13" s="362">
        <v>21.12</v>
      </c>
      <c r="H13" s="367">
        <f t="shared" si="0"/>
        <v>21.12</v>
      </c>
      <c r="I13" s="362">
        <v>140</v>
      </c>
      <c r="J13" s="362">
        <v>4</v>
      </c>
      <c r="K13" s="362">
        <v>2101.5</v>
      </c>
      <c r="L13" s="362">
        <v>15</v>
      </c>
      <c r="M13" s="367">
        <f t="shared" si="1"/>
        <v>2241.5</v>
      </c>
      <c r="N13" s="367">
        <v>20</v>
      </c>
      <c r="O13" s="362">
        <v>96</v>
      </c>
      <c r="P13" s="362">
        <v>96</v>
      </c>
      <c r="Q13" s="362"/>
      <c r="R13" s="362">
        <v>2</v>
      </c>
      <c r="S13" s="362"/>
      <c r="T13" s="362">
        <v>2</v>
      </c>
      <c r="U13" s="362"/>
      <c r="V13" s="362"/>
      <c r="W13" s="362"/>
      <c r="X13" s="362"/>
      <c r="Y13" s="362"/>
      <c r="Z13" s="362"/>
      <c r="AA13" s="362"/>
      <c r="AB13" s="362"/>
      <c r="AC13" s="753">
        <v>145.5037</v>
      </c>
      <c r="AD13" s="362">
        <v>7.67</v>
      </c>
    </row>
    <row r="14" spans="1:30" ht="21.75" customHeight="1">
      <c r="A14" s="548">
        <v>8</v>
      </c>
      <c r="B14" s="362" t="s">
        <v>320</v>
      </c>
      <c r="C14" s="362"/>
      <c r="D14" s="473" t="s">
        <v>150</v>
      </c>
      <c r="E14" s="362"/>
      <c r="F14" s="362">
        <v>37.95</v>
      </c>
      <c r="G14" s="362"/>
      <c r="H14" s="367">
        <f t="shared" si="0"/>
        <v>37.95</v>
      </c>
      <c r="I14" s="362">
        <v>172.6</v>
      </c>
      <c r="J14" s="362">
        <v>13</v>
      </c>
      <c r="K14" s="362">
        <v>26.3</v>
      </c>
      <c r="L14" s="362">
        <v>3</v>
      </c>
      <c r="M14" s="367">
        <f t="shared" si="1"/>
        <v>198.9</v>
      </c>
      <c r="N14" s="367">
        <f t="shared" si="1"/>
        <v>16</v>
      </c>
      <c r="O14" s="362">
        <v>51</v>
      </c>
      <c r="P14" s="362">
        <v>51</v>
      </c>
      <c r="Q14" s="362"/>
      <c r="R14" s="362"/>
      <c r="S14" s="362"/>
      <c r="T14" s="362"/>
      <c r="U14" s="362"/>
      <c r="V14" s="362"/>
      <c r="W14" s="362"/>
      <c r="X14" s="362">
        <v>2</v>
      </c>
      <c r="Y14" s="362"/>
      <c r="Z14" s="362"/>
      <c r="AA14" s="362"/>
      <c r="AB14" s="362"/>
      <c r="AC14" s="753">
        <v>12.7358</v>
      </c>
      <c r="AD14" s="362">
        <v>6.97</v>
      </c>
    </row>
    <row r="15" spans="1:30" ht="21.75" customHeight="1">
      <c r="A15" s="548">
        <v>9</v>
      </c>
      <c r="B15" s="362" t="s">
        <v>321</v>
      </c>
      <c r="C15" s="362"/>
      <c r="D15" s="473" t="s">
        <v>150</v>
      </c>
      <c r="E15" s="362"/>
      <c r="F15" s="362">
        <v>30.8</v>
      </c>
      <c r="G15" s="362">
        <v>0.86</v>
      </c>
      <c r="H15" s="367">
        <f t="shared" si="0"/>
        <v>31.66</v>
      </c>
      <c r="I15" s="362">
        <v>666.3</v>
      </c>
      <c r="J15" s="362">
        <v>30</v>
      </c>
      <c r="K15" s="362">
        <v>218.9</v>
      </c>
      <c r="L15" s="362">
        <v>4</v>
      </c>
      <c r="M15" s="367">
        <f t="shared" si="1"/>
        <v>885.1999999999999</v>
      </c>
      <c r="N15" s="367">
        <f t="shared" si="1"/>
        <v>34</v>
      </c>
      <c r="O15" s="362">
        <v>114</v>
      </c>
      <c r="P15" s="362">
        <v>114</v>
      </c>
      <c r="Q15" s="362"/>
      <c r="R15" s="362">
        <v>1</v>
      </c>
      <c r="S15" s="362"/>
      <c r="T15" s="362">
        <v>1</v>
      </c>
      <c r="U15" s="362"/>
      <c r="V15" s="362"/>
      <c r="W15" s="362">
        <v>4</v>
      </c>
      <c r="X15" s="362">
        <v>33</v>
      </c>
      <c r="Y15" s="362"/>
      <c r="Z15" s="362"/>
      <c r="AA15" s="362">
        <v>6</v>
      </c>
      <c r="AB15" s="362"/>
      <c r="AC15" s="753">
        <v>77.851</v>
      </c>
      <c r="AD15" s="362">
        <v>7.9</v>
      </c>
    </row>
    <row r="16" spans="1:30" ht="21.75" customHeight="1">
      <c r="A16" s="743">
        <v>10</v>
      </c>
      <c r="B16" s="362" t="s">
        <v>322</v>
      </c>
      <c r="C16" s="362"/>
      <c r="D16" s="362"/>
      <c r="E16" s="362" t="s">
        <v>150</v>
      </c>
      <c r="F16" s="362"/>
      <c r="G16" s="362">
        <v>8.38</v>
      </c>
      <c r="H16" s="367">
        <f t="shared" si="0"/>
        <v>8.38</v>
      </c>
      <c r="I16" s="362"/>
      <c r="J16" s="362"/>
      <c r="K16" s="362">
        <v>900</v>
      </c>
      <c r="L16" s="362">
        <v>2</v>
      </c>
      <c r="M16" s="367">
        <f t="shared" si="1"/>
        <v>900</v>
      </c>
      <c r="N16" s="367">
        <f t="shared" si="1"/>
        <v>2</v>
      </c>
      <c r="O16" s="362">
        <v>6</v>
      </c>
      <c r="P16" s="362">
        <v>6</v>
      </c>
      <c r="Q16" s="362"/>
      <c r="R16" s="362"/>
      <c r="S16" s="362"/>
      <c r="T16" s="362">
        <f>Q16+R16+S16</f>
        <v>0</v>
      </c>
      <c r="U16" s="362"/>
      <c r="V16" s="362"/>
      <c r="W16" s="362"/>
      <c r="X16" s="362"/>
      <c r="Y16" s="362"/>
      <c r="Z16" s="362"/>
      <c r="AA16" s="362">
        <v>2</v>
      </c>
      <c r="AB16" s="362"/>
      <c r="AC16" s="753">
        <v>44.587</v>
      </c>
      <c r="AD16" s="362"/>
    </row>
    <row r="17" spans="1:30" ht="21.75" customHeight="1">
      <c r="A17" s="548">
        <v>11</v>
      </c>
      <c r="B17" s="362" t="s">
        <v>323</v>
      </c>
      <c r="C17" s="362"/>
      <c r="D17" s="367"/>
      <c r="E17" s="362" t="s">
        <v>150</v>
      </c>
      <c r="F17" s="362"/>
      <c r="G17" s="362">
        <v>19.7</v>
      </c>
      <c r="H17" s="367">
        <f t="shared" si="0"/>
        <v>19.7</v>
      </c>
      <c r="I17" s="362"/>
      <c r="J17" s="362"/>
      <c r="K17" s="362">
        <v>2700</v>
      </c>
      <c r="L17" s="362">
        <v>6</v>
      </c>
      <c r="M17" s="367">
        <f t="shared" si="1"/>
        <v>2700</v>
      </c>
      <c r="N17" s="367">
        <f t="shared" si="1"/>
        <v>6</v>
      </c>
      <c r="O17" s="362">
        <v>18</v>
      </c>
      <c r="P17" s="362">
        <v>18</v>
      </c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>
        <v>2</v>
      </c>
      <c r="AB17" s="362"/>
      <c r="AC17" s="753">
        <v>22.092</v>
      </c>
      <c r="AD17" s="362"/>
    </row>
    <row r="18" spans="1:30" ht="21.75" customHeight="1">
      <c r="A18" s="548">
        <v>12</v>
      </c>
      <c r="B18" s="362" t="s">
        <v>324</v>
      </c>
      <c r="C18" s="362"/>
      <c r="D18" s="473" t="s">
        <v>150</v>
      </c>
      <c r="E18" s="362"/>
      <c r="F18" s="362">
        <v>54.72</v>
      </c>
      <c r="G18" s="362">
        <v>0.15</v>
      </c>
      <c r="H18" s="367">
        <f t="shared" si="0"/>
        <v>54.87</v>
      </c>
      <c r="I18" s="362">
        <v>1302</v>
      </c>
      <c r="J18" s="362">
        <v>41</v>
      </c>
      <c r="K18" s="362">
        <v>3062.6</v>
      </c>
      <c r="L18" s="362">
        <v>38</v>
      </c>
      <c r="M18" s="367">
        <f t="shared" si="1"/>
        <v>4364.6</v>
      </c>
      <c r="N18" s="367">
        <f t="shared" si="1"/>
        <v>79</v>
      </c>
      <c r="O18" s="362">
        <v>237</v>
      </c>
      <c r="P18" s="362">
        <v>237</v>
      </c>
      <c r="Q18" s="362"/>
      <c r="R18" s="362">
        <v>1</v>
      </c>
      <c r="S18" s="362"/>
      <c r="T18" s="362">
        <v>1</v>
      </c>
      <c r="U18" s="362"/>
      <c r="V18" s="362"/>
      <c r="W18" s="362"/>
      <c r="X18" s="362">
        <v>86</v>
      </c>
      <c r="Y18" s="754"/>
      <c r="Z18" s="754"/>
      <c r="AA18" s="754"/>
      <c r="AB18" s="754"/>
      <c r="AC18" s="753">
        <v>217.4797</v>
      </c>
      <c r="AD18" s="362">
        <v>8.07</v>
      </c>
    </row>
    <row r="19" spans="1:30" ht="21.75" customHeight="1">
      <c r="A19" s="743">
        <v>13</v>
      </c>
      <c r="B19" s="362" t="s">
        <v>325</v>
      </c>
      <c r="C19" s="362"/>
      <c r="D19" s="473" t="s">
        <v>150</v>
      </c>
      <c r="E19" s="362"/>
      <c r="F19" s="362">
        <v>142.19</v>
      </c>
      <c r="G19" s="362"/>
      <c r="H19" s="367">
        <f t="shared" si="0"/>
        <v>142.19</v>
      </c>
      <c r="I19" s="362">
        <v>2137.6</v>
      </c>
      <c r="J19" s="362">
        <v>96</v>
      </c>
      <c r="K19" s="362">
        <v>1737.6</v>
      </c>
      <c r="L19" s="362">
        <v>13</v>
      </c>
      <c r="M19" s="367">
        <f t="shared" si="1"/>
        <v>3875.2</v>
      </c>
      <c r="N19" s="367">
        <f t="shared" si="1"/>
        <v>109</v>
      </c>
      <c r="O19" s="362">
        <v>351</v>
      </c>
      <c r="P19" s="362">
        <v>321</v>
      </c>
      <c r="Q19" s="362"/>
      <c r="R19" s="362">
        <v>3</v>
      </c>
      <c r="S19" s="362"/>
      <c r="T19" s="362">
        <v>3</v>
      </c>
      <c r="U19" s="362"/>
      <c r="V19" s="362"/>
      <c r="W19" s="362">
        <v>10</v>
      </c>
      <c r="X19" s="362">
        <v>77</v>
      </c>
      <c r="Y19" s="362"/>
      <c r="Z19" s="362"/>
      <c r="AA19" s="362">
        <v>6</v>
      </c>
      <c r="AB19" s="362"/>
      <c r="AC19" s="753">
        <v>331.3199</v>
      </c>
      <c r="AD19" s="362">
        <v>7.8</v>
      </c>
    </row>
    <row r="20" spans="1:30" ht="21.75" customHeight="1">
      <c r="A20" s="548">
        <v>14</v>
      </c>
      <c r="B20" s="362" t="s">
        <v>326</v>
      </c>
      <c r="C20" s="362"/>
      <c r="D20" s="473" t="s">
        <v>150</v>
      </c>
      <c r="E20" s="362"/>
      <c r="F20" s="744">
        <v>144.2</v>
      </c>
      <c r="G20" s="362">
        <v>2.98</v>
      </c>
      <c r="H20" s="367">
        <f t="shared" si="0"/>
        <v>147.17999999999998</v>
      </c>
      <c r="I20" s="362">
        <v>2166.5</v>
      </c>
      <c r="J20" s="362">
        <v>79</v>
      </c>
      <c r="K20" s="362">
        <v>3858.9</v>
      </c>
      <c r="L20" s="362">
        <v>39</v>
      </c>
      <c r="M20" s="367">
        <f t="shared" si="1"/>
        <v>6025.4</v>
      </c>
      <c r="N20" s="367">
        <f t="shared" si="1"/>
        <v>118</v>
      </c>
      <c r="O20" s="362">
        <v>366</v>
      </c>
      <c r="P20" s="362">
        <v>366</v>
      </c>
      <c r="Q20" s="362"/>
      <c r="R20" s="362">
        <v>3</v>
      </c>
      <c r="S20" s="362"/>
      <c r="T20" s="362">
        <v>3</v>
      </c>
      <c r="U20" s="362"/>
      <c r="V20" s="362"/>
      <c r="W20" s="362">
        <v>12</v>
      </c>
      <c r="X20" s="362">
        <v>66</v>
      </c>
      <c r="Y20" s="362"/>
      <c r="Z20" s="362"/>
      <c r="AA20" s="362"/>
      <c r="AB20" s="362"/>
      <c r="AC20" s="753">
        <v>415.0888</v>
      </c>
      <c r="AD20" s="362">
        <v>7.94</v>
      </c>
    </row>
    <row r="21" spans="1:30" ht="21.75" customHeight="1">
      <c r="A21" s="548">
        <v>15</v>
      </c>
      <c r="B21" s="362" t="s">
        <v>327</v>
      </c>
      <c r="C21" s="362"/>
      <c r="D21" s="473" t="s">
        <v>150</v>
      </c>
      <c r="E21" s="362"/>
      <c r="F21" s="362">
        <v>76.64</v>
      </c>
      <c r="G21" s="362">
        <v>2.3</v>
      </c>
      <c r="H21" s="367">
        <f t="shared" si="0"/>
        <v>78.94</v>
      </c>
      <c r="I21" s="362">
        <v>740</v>
      </c>
      <c r="J21" s="362">
        <v>45</v>
      </c>
      <c r="K21" s="362">
        <v>150</v>
      </c>
      <c r="L21" s="362">
        <v>3</v>
      </c>
      <c r="M21" s="367">
        <f t="shared" si="1"/>
        <v>890</v>
      </c>
      <c r="N21" s="367">
        <f t="shared" si="1"/>
        <v>48</v>
      </c>
      <c r="O21" s="362">
        <v>144</v>
      </c>
      <c r="P21" s="362">
        <v>144</v>
      </c>
      <c r="Q21" s="362"/>
      <c r="R21" s="362">
        <v>1</v>
      </c>
      <c r="S21" s="362"/>
      <c r="T21" s="362">
        <v>1</v>
      </c>
      <c r="U21" s="362"/>
      <c r="V21" s="362"/>
      <c r="W21" s="362"/>
      <c r="X21" s="362"/>
      <c r="Y21" s="362"/>
      <c r="Z21" s="362"/>
      <c r="AA21" s="362">
        <v>6</v>
      </c>
      <c r="AB21" s="362"/>
      <c r="AC21" s="753">
        <v>91.5828</v>
      </c>
      <c r="AD21" s="362">
        <v>8.68</v>
      </c>
    </row>
    <row r="22" spans="1:30" ht="21.75" customHeight="1">
      <c r="A22" s="743">
        <v>16</v>
      </c>
      <c r="B22" s="367" t="s">
        <v>328</v>
      </c>
      <c r="C22" s="473" t="s">
        <v>150</v>
      </c>
      <c r="D22" s="473"/>
      <c r="E22" s="367"/>
      <c r="F22" s="367">
        <v>6.628</v>
      </c>
      <c r="G22" s="367">
        <v>0.788</v>
      </c>
      <c r="H22" s="367">
        <f t="shared" si="0"/>
        <v>7.416</v>
      </c>
      <c r="I22" s="367">
        <v>2800</v>
      </c>
      <c r="J22" s="367">
        <v>15</v>
      </c>
      <c r="K22" s="367">
        <v>6145</v>
      </c>
      <c r="L22" s="367">
        <v>33</v>
      </c>
      <c r="M22" s="367">
        <f t="shared" si="1"/>
        <v>8945</v>
      </c>
      <c r="N22" s="367">
        <f t="shared" si="1"/>
        <v>48</v>
      </c>
      <c r="O22" s="367">
        <v>204</v>
      </c>
      <c r="P22" s="367">
        <v>204</v>
      </c>
      <c r="Q22" s="367"/>
      <c r="R22" s="367">
        <v>3</v>
      </c>
      <c r="S22" s="367"/>
      <c r="T22" s="367">
        <v>3</v>
      </c>
      <c r="U22" s="367"/>
      <c r="V22" s="367"/>
      <c r="W22" s="367"/>
      <c r="X22" s="362"/>
      <c r="Y22" s="367"/>
      <c r="Z22" s="367"/>
      <c r="AA22" s="367">
        <v>189</v>
      </c>
      <c r="AB22" s="367"/>
      <c r="AC22" s="755">
        <v>1384.4354</v>
      </c>
      <c r="AD22" s="362">
        <v>5.15</v>
      </c>
    </row>
    <row r="23" spans="1:30" ht="21.75" customHeight="1">
      <c r="A23" s="548">
        <v>17</v>
      </c>
      <c r="B23" s="362" t="s">
        <v>329</v>
      </c>
      <c r="C23" s="362"/>
      <c r="D23" s="473" t="s">
        <v>150</v>
      </c>
      <c r="E23" s="362"/>
      <c r="F23" s="362">
        <v>17.96</v>
      </c>
      <c r="G23" s="362">
        <v>0.65</v>
      </c>
      <c r="H23" s="367">
        <f t="shared" si="0"/>
        <v>18.61</v>
      </c>
      <c r="I23" s="362">
        <v>480</v>
      </c>
      <c r="J23" s="362">
        <v>10</v>
      </c>
      <c r="K23" s="362">
        <v>386.3</v>
      </c>
      <c r="L23" s="362">
        <v>7</v>
      </c>
      <c r="M23" s="367">
        <f t="shared" si="1"/>
        <v>866.3</v>
      </c>
      <c r="N23" s="367">
        <f t="shared" si="1"/>
        <v>17</v>
      </c>
      <c r="O23" s="362">
        <v>51</v>
      </c>
      <c r="P23" s="362">
        <v>51</v>
      </c>
      <c r="Q23" s="362"/>
      <c r="R23" s="362">
        <v>1</v>
      </c>
      <c r="S23" s="362"/>
      <c r="T23" s="367">
        <v>1</v>
      </c>
      <c r="U23" s="362"/>
      <c r="V23" s="362"/>
      <c r="W23" s="362"/>
      <c r="X23" s="367"/>
      <c r="Y23" s="362"/>
      <c r="Z23" s="362"/>
      <c r="AA23" s="362"/>
      <c r="AB23" s="362"/>
      <c r="AC23" s="753">
        <v>122.387</v>
      </c>
      <c r="AD23" s="362">
        <v>7.84</v>
      </c>
    </row>
    <row r="24" spans="1:30" ht="21.75" customHeight="1">
      <c r="A24" s="548">
        <v>18</v>
      </c>
      <c r="B24" s="362" t="s">
        <v>330</v>
      </c>
      <c r="C24" s="362"/>
      <c r="D24" s="473" t="s">
        <v>150</v>
      </c>
      <c r="E24" s="362"/>
      <c r="F24" s="362">
        <v>12.7</v>
      </c>
      <c r="G24" s="362">
        <v>0.26</v>
      </c>
      <c r="H24" s="367">
        <f t="shared" si="0"/>
        <v>12.959999999999999</v>
      </c>
      <c r="I24" s="362">
        <v>220</v>
      </c>
      <c r="J24" s="362">
        <v>7</v>
      </c>
      <c r="K24" s="362">
        <v>1730</v>
      </c>
      <c r="L24" s="362">
        <v>21</v>
      </c>
      <c r="M24" s="367">
        <f t="shared" si="1"/>
        <v>1950</v>
      </c>
      <c r="N24" s="367">
        <f t="shared" si="1"/>
        <v>28</v>
      </c>
      <c r="O24" s="362">
        <v>105</v>
      </c>
      <c r="P24" s="362">
        <v>105</v>
      </c>
      <c r="Q24" s="362"/>
      <c r="R24" s="362">
        <v>1</v>
      </c>
      <c r="S24" s="362"/>
      <c r="T24" s="367">
        <v>1</v>
      </c>
      <c r="U24" s="362"/>
      <c r="V24" s="362"/>
      <c r="W24" s="362">
        <v>6</v>
      </c>
      <c r="X24" s="362">
        <v>12</v>
      </c>
      <c r="Y24" s="362"/>
      <c r="Z24" s="362"/>
      <c r="AA24" s="362"/>
      <c r="AB24" s="362"/>
      <c r="AC24" s="753">
        <v>218.9298</v>
      </c>
      <c r="AD24" s="362">
        <v>8.1</v>
      </c>
    </row>
    <row r="25" spans="1:30" ht="21.75" customHeight="1">
      <c r="A25" s="743">
        <v>19</v>
      </c>
      <c r="B25" s="362" t="s">
        <v>331</v>
      </c>
      <c r="C25" s="362"/>
      <c r="D25" s="362" t="s">
        <v>150</v>
      </c>
      <c r="E25" s="362"/>
      <c r="F25" s="362">
        <v>42.48</v>
      </c>
      <c r="G25" s="362"/>
      <c r="H25" s="367">
        <f t="shared" si="0"/>
        <v>42.48</v>
      </c>
      <c r="I25" s="362">
        <v>230</v>
      </c>
      <c r="J25" s="362">
        <v>7</v>
      </c>
      <c r="K25" s="362">
        <v>1361.5</v>
      </c>
      <c r="L25" s="362">
        <v>17</v>
      </c>
      <c r="M25" s="367">
        <f aca="true" t="shared" si="2" ref="M25:N27">I25+K25</f>
        <v>1591.5</v>
      </c>
      <c r="N25" s="367">
        <f t="shared" si="2"/>
        <v>24</v>
      </c>
      <c r="O25" s="362">
        <v>96</v>
      </c>
      <c r="P25" s="362">
        <v>96</v>
      </c>
      <c r="Q25" s="362"/>
      <c r="R25" s="362"/>
      <c r="S25" s="362"/>
      <c r="T25" s="362"/>
      <c r="U25" s="362"/>
      <c r="V25" s="362"/>
      <c r="W25" s="362"/>
      <c r="X25" s="362">
        <v>8</v>
      </c>
      <c r="Y25" s="362"/>
      <c r="Z25" s="362"/>
      <c r="AA25" s="362">
        <v>3</v>
      </c>
      <c r="AB25" s="362"/>
      <c r="AC25" s="753">
        <v>112.3177</v>
      </c>
      <c r="AD25" s="362">
        <v>7.76</v>
      </c>
    </row>
    <row r="26" spans="1:30" ht="21.75" customHeight="1">
      <c r="A26" s="548">
        <v>20</v>
      </c>
      <c r="B26" s="362" t="s">
        <v>332</v>
      </c>
      <c r="C26" s="362"/>
      <c r="D26" s="362" t="s">
        <v>150</v>
      </c>
      <c r="E26" s="362"/>
      <c r="F26" s="362">
        <v>29.22</v>
      </c>
      <c r="G26" s="362"/>
      <c r="H26" s="367">
        <f t="shared" si="0"/>
        <v>29.22</v>
      </c>
      <c r="I26" s="362">
        <v>650</v>
      </c>
      <c r="J26" s="362">
        <v>22</v>
      </c>
      <c r="K26" s="362">
        <v>676.3</v>
      </c>
      <c r="L26" s="362">
        <v>9</v>
      </c>
      <c r="M26" s="367">
        <f t="shared" si="2"/>
        <v>1326.3</v>
      </c>
      <c r="N26" s="367">
        <f t="shared" si="2"/>
        <v>31</v>
      </c>
      <c r="O26" s="362">
        <v>108</v>
      </c>
      <c r="P26" s="362">
        <v>108</v>
      </c>
      <c r="Q26" s="362"/>
      <c r="R26" s="362">
        <v>1</v>
      </c>
      <c r="S26" s="362"/>
      <c r="T26" s="362">
        <v>1</v>
      </c>
      <c r="U26" s="362"/>
      <c r="V26" s="362"/>
      <c r="W26" s="362"/>
      <c r="X26" s="362">
        <v>16</v>
      </c>
      <c r="Y26" s="362"/>
      <c r="Z26" s="362"/>
      <c r="AA26" s="362">
        <v>6</v>
      </c>
      <c r="AB26" s="362"/>
      <c r="AC26" s="753">
        <v>158.3625</v>
      </c>
      <c r="AD26" s="362">
        <v>6.8</v>
      </c>
    </row>
    <row r="27" spans="1:30" ht="21.75" customHeight="1">
      <c r="A27" s="548">
        <v>21</v>
      </c>
      <c r="B27" s="362" t="s">
        <v>333</v>
      </c>
      <c r="C27" s="362"/>
      <c r="D27" s="362"/>
      <c r="E27" s="362" t="s">
        <v>150</v>
      </c>
      <c r="F27" s="362">
        <v>11.31</v>
      </c>
      <c r="G27" s="362">
        <v>33.24</v>
      </c>
      <c r="H27" s="367">
        <f t="shared" si="0"/>
        <v>44.550000000000004</v>
      </c>
      <c r="I27" s="362">
        <v>50</v>
      </c>
      <c r="J27" s="362">
        <v>3</v>
      </c>
      <c r="K27" s="362">
        <v>3010</v>
      </c>
      <c r="L27" s="362">
        <v>52</v>
      </c>
      <c r="M27" s="367">
        <f t="shared" si="2"/>
        <v>3060</v>
      </c>
      <c r="N27" s="367">
        <f t="shared" si="2"/>
        <v>55</v>
      </c>
      <c r="O27" s="362">
        <v>171</v>
      </c>
      <c r="P27" s="362">
        <v>171</v>
      </c>
      <c r="Q27" s="362"/>
      <c r="R27" s="362">
        <v>1</v>
      </c>
      <c r="S27" s="362"/>
      <c r="T27" s="362">
        <v>1</v>
      </c>
      <c r="U27" s="362"/>
      <c r="V27" s="362"/>
      <c r="W27" s="362"/>
      <c r="X27" s="362"/>
      <c r="Y27" s="362"/>
      <c r="Z27" s="362"/>
      <c r="AA27" s="362">
        <v>2</v>
      </c>
      <c r="AB27" s="362"/>
      <c r="AC27" s="753">
        <v>163.1151</v>
      </c>
      <c r="AD27" s="362"/>
    </row>
    <row r="28" spans="1:30" ht="21.75" customHeight="1">
      <c r="A28" s="743">
        <v>22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756"/>
      <c r="AD28" s="548"/>
    </row>
    <row r="29" spans="1:30" ht="21.75" customHeight="1">
      <c r="A29" s="745" t="s">
        <v>122</v>
      </c>
      <c r="B29" s="746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756"/>
      <c r="AD29" s="548"/>
    </row>
    <row r="30" spans="1:30" ht="21.75" customHeight="1">
      <c r="A30" s="342" t="s">
        <v>209</v>
      </c>
      <c r="B30" s="343"/>
      <c r="C30" s="344"/>
      <c r="D30" s="344"/>
      <c r="E30" s="344"/>
      <c r="F30" s="747">
        <f aca="true" t="shared" si="3" ref="F30:O30">F7+F8+F9+F10+F11+F12+F13+F14+F15+F16+F17+F18+F19+F20+F21+F22+F23+F24+F25+F26+F27</f>
        <v>879.2980000000002</v>
      </c>
      <c r="G30" s="344">
        <f>SUM(G7:G29)</f>
        <v>140.79000000000002</v>
      </c>
      <c r="H30" s="344">
        <f>SUM(H7:H29)</f>
        <v>1020.088</v>
      </c>
      <c r="I30" s="344">
        <f t="shared" si="3"/>
        <v>19135.6</v>
      </c>
      <c r="J30" s="344">
        <f aca="true" t="shared" si="4" ref="J30:N30">SUM(J7:J27)</f>
        <v>533</v>
      </c>
      <c r="K30" s="344">
        <f t="shared" si="3"/>
        <v>41872.200000000004</v>
      </c>
      <c r="L30" s="344">
        <f t="shared" si="4"/>
        <v>352</v>
      </c>
      <c r="M30" s="344">
        <f t="shared" si="3"/>
        <v>61007.80000000001</v>
      </c>
      <c r="N30" s="344">
        <f t="shared" si="4"/>
        <v>886</v>
      </c>
      <c r="O30" s="344">
        <f t="shared" si="3"/>
        <v>2886</v>
      </c>
      <c r="P30" s="344">
        <f>P7+P8+P9+P10+P11+P12+P13+P14+P15+P16+P17+P18+P19+P20+P21+P22+P23+P25+P26+P27</f>
        <v>2751</v>
      </c>
      <c r="Q30" s="344"/>
      <c r="R30" s="344">
        <f aca="true" t="shared" si="5" ref="R30:X30">R7+R8+R9+R10+R11+R12+R13+R14+R15+R16+R17+R18+R19+R20+R21+R22+R23+R24+R25+R26+R27</f>
        <v>33</v>
      </c>
      <c r="S30" s="344"/>
      <c r="T30" s="344">
        <f t="shared" si="5"/>
        <v>33</v>
      </c>
      <c r="U30" s="344">
        <f>U7+U8+U9+U10+U11+U12+U13+U14+U15+U16+U18+U19+U20+U21+U22+U23+U24+U25+U26+U27</f>
        <v>0</v>
      </c>
      <c r="V30" s="344">
        <f>V8+V9+V10+V11+V13+V14+V15+V16+V17+V18+V19+V20+V21+V22+V23+V24+V25+V27</f>
        <v>0</v>
      </c>
      <c r="W30" s="344">
        <f t="shared" si="5"/>
        <v>56</v>
      </c>
      <c r="X30" s="344">
        <f t="shared" si="5"/>
        <v>461</v>
      </c>
      <c r="Y30" s="344"/>
      <c r="Z30" s="344"/>
      <c r="AA30" s="344">
        <f>AA7+AA8+AA9+AA10+AA11+AA12+AA13+AA14+AA15+AA16+AA17+AA18+AA19+AA20+AA21+AA22+AA23+AA24+AA25+AA26+AA27</f>
        <v>376</v>
      </c>
      <c r="AB30" s="344"/>
      <c r="AC30" s="757">
        <f>AC7+AC8+AC9+AC10+AC11+AC12+AC13+AC14+AC15+AC16+AC17+AC18+AC19+AC20+AC21+AC22+AC23+AC24+AC25+AC26+AC27</f>
        <v>6139.706099999999</v>
      </c>
      <c r="AD30" s="344">
        <v>5.97</v>
      </c>
    </row>
    <row r="31" spans="1:30" ht="21.75" customHeight="1">
      <c r="A31" s="748" t="s">
        <v>334</v>
      </c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  <c r="V31" s="749"/>
      <c r="W31" s="749"/>
      <c r="X31" s="749"/>
      <c r="Y31" s="749"/>
      <c r="Z31" s="749"/>
      <c r="AA31" s="749"/>
      <c r="AB31" s="749"/>
      <c r="AC31" s="749"/>
      <c r="AD31" s="758"/>
    </row>
    <row r="32" spans="1:30" ht="42.75" customHeight="1">
      <c r="A32" s="750"/>
      <c r="B32" s="751"/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751"/>
      <c r="AD32" s="759"/>
    </row>
    <row r="33" spans="4:29" ht="21.75" customHeight="1">
      <c r="D33" s="294" t="s">
        <v>176</v>
      </c>
      <c r="H33" s="660"/>
      <c r="I33" s="660"/>
      <c r="J33" s="660"/>
      <c r="O33" s="294" t="s">
        <v>177</v>
      </c>
      <c r="Q33" s="446"/>
      <c r="R33" s="446"/>
      <c r="S33" s="446"/>
      <c r="T33" s="446"/>
      <c r="Z33" s="294" t="s">
        <v>211</v>
      </c>
      <c r="AA33" s="446" t="s">
        <v>335</v>
      </c>
      <c r="AB33" s="446"/>
      <c r="AC33" s="446"/>
    </row>
    <row r="34" spans="1:30" ht="21.75" customHeight="1">
      <c r="A34" s="752"/>
      <c r="B34" s="752"/>
      <c r="C34" s="752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2"/>
      <c r="Z34" s="752"/>
      <c r="AA34" s="752"/>
      <c r="AB34" s="752"/>
      <c r="AC34" s="752"/>
      <c r="AD34" s="752"/>
    </row>
    <row r="35" spans="1:30" ht="21.75" customHeight="1">
      <c r="A35" s="752"/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2"/>
      <c r="AC35" s="752"/>
      <c r="AD35" s="752"/>
    </row>
    <row r="36" spans="4:5" ht="21.75" customHeight="1">
      <c r="D36" s="661"/>
      <c r="E36" s="661"/>
    </row>
    <row r="37" spans="4:5" ht="21.75" customHeight="1">
      <c r="D37" s="661"/>
      <c r="E37" s="661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27">
    <mergeCell ref="A1:AD1"/>
    <mergeCell ref="C3:E3"/>
    <mergeCell ref="F3:H3"/>
    <mergeCell ref="I3:N3"/>
    <mergeCell ref="Q3:T3"/>
    <mergeCell ref="U3:V3"/>
    <mergeCell ref="W3:Y3"/>
    <mergeCell ref="AA3:AB3"/>
    <mergeCell ref="A29:B29"/>
    <mergeCell ref="A30:B30"/>
    <mergeCell ref="H33:J33"/>
    <mergeCell ref="Q33:T33"/>
    <mergeCell ref="AA33:AC33"/>
    <mergeCell ref="B3:B6"/>
    <mergeCell ref="C4:C6"/>
    <mergeCell ref="D4:D6"/>
    <mergeCell ref="E4:E6"/>
    <mergeCell ref="W4:W5"/>
    <mergeCell ref="AD5:AD6"/>
    <mergeCell ref="A34:AD35"/>
    <mergeCell ref="F4:H5"/>
    <mergeCell ref="A31:AD32"/>
    <mergeCell ref="I4:J5"/>
    <mergeCell ref="K4:L5"/>
    <mergeCell ref="M4:N5"/>
    <mergeCell ref="U4:V5"/>
    <mergeCell ref="AA4:AB5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 scale="97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M81"/>
  <sheetViews>
    <sheetView workbookViewId="0" topLeftCell="A1">
      <pane xSplit="5" ySplit="7" topLeftCell="F47" activePane="bottomRight" state="frozen"/>
      <selection pane="bottomRight" activeCell="AG6" sqref="AG6"/>
    </sheetView>
  </sheetViews>
  <sheetFormatPr defaultColWidth="9.00390625" defaultRowHeight="14.25"/>
  <cols>
    <col min="1" max="1" width="3.125" style="294" customWidth="1"/>
    <col min="2" max="2" width="10.00390625" style="294" customWidth="1"/>
    <col min="3" max="3" width="2.25390625" style="294" customWidth="1"/>
    <col min="4" max="5" width="3.25390625" style="294" customWidth="1"/>
    <col min="6" max="6" width="9.75390625" style="294" customWidth="1"/>
    <col min="7" max="7" width="8.875" style="294" customWidth="1"/>
    <col min="8" max="8" width="8.75390625" style="294" customWidth="1"/>
    <col min="9" max="9" width="10.75390625" style="294" customWidth="1"/>
    <col min="10" max="10" width="5.50390625" style="294" customWidth="1"/>
    <col min="11" max="11" width="9.50390625" style="294" customWidth="1"/>
    <col min="12" max="12" width="6.125" style="294" customWidth="1"/>
    <col min="13" max="13" width="9.75390625" style="294" customWidth="1"/>
    <col min="14" max="14" width="6.625" style="294" customWidth="1"/>
    <col min="15" max="15" width="6.25390625" style="294" customWidth="1"/>
    <col min="16" max="16" width="7.00390625" style="294" bestFit="1" customWidth="1"/>
    <col min="17" max="17" width="3.75390625" style="294" customWidth="1"/>
    <col min="18" max="18" width="4.00390625" style="294" customWidth="1"/>
    <col min="19" max="19" width="3.625" style="294" customWidth="1"/>
    <col min="20" max="20" width="6.00390625" style="294" customWidth="1"/>
    <col min="21" max="21" width="6.875" style="294" customWidth="1"/>
    <col min="22" max="22" width="5.375" style="294" customWidth="1"/>
    <col min="23" max="23" width="6.75390625" style="294" customWidth="1"/>
    <col min="24" max="24" width="5.75390625" style="294" customWidth="1"/>
    <col min="25" max="26" width="5.50390625" style="294" customWidth="1"/>
    <col min="27" max="27" width="6.50390625" style="294" customWidth="1"/>
    <col min="28" max="28" width="4.50390625" style="294" customWidth="1"/>
    <col min="29" max="29" width="10.50390625" style="332" customWidth="1"/>
    <col min="30" max="30" width="5.625" style="332" customWidth="1"/>
    <col min="31" max="31" width="9.75390625" style="294" customWidth="1"/>
    <col min="32" max="32" width="4.375" style="294" customWidth="1"/>
    <col min="33" max="35" width="4.75390625" style="294" customWidth="1"/>
    <col min="36" max="36" width="5.50390625" style="294" customWidth="1"/>
    <col min="37" max="37" width="5.25390625" style="294" customWidth="1"/>
    <col min="38" max="38" width="4.375" style="294" customWidth="1"/>
    <col min="39" max="16384" width="9.00390625" style="294" customWidth="1"/>
  </cols>
  <sheetData>
    <row r="1" spans="6:7" ht="14.25">
      <c r="F1" s="447"/>
      <c r="G1" s="447"/>
    </row>
    <row r="2" spans="1:30" ht="20.25">
      <c r="A2" s="295" t="s">
        <v>97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1:28" ht="15.75">
      <c r="A3" s="294" t="s">
        <v>98</v>
      </c>
      <c r="E3" s="715" t="s">
        <v>336</v>
      </c>
      <c r="F3" s="715"/>
      <c r="G3" s="715"/>
      <c r="H3" s="715"/>
      <c r="V3" s="294" t="s">
        <v>238</v>
      </c>
      <c r="AB3" s="294" t="s">
        <v>239</v>
      </c>
    </row>
    <row r="4" spans="1:30" s="620" customFormat="1" ht="15.75">
      <c r="A4" s="333" t="s">
        <v>102</v>
      </c>
      <c r="B4" s="334" t="s">
        <v>103</v>
      </c>
      <c r="C4" s="334" t="s">
        <v>104</v>
      </c>
      <c r="D4" s="334"/>
      <c r="E4" s="334"/>
      <c r="F4" s="335" t="s">
        <v>105</v>
      </c>
      <c r="G4" s="336"/>
      <c r="H4" s="336"/>
      <c r="I4" s="336" t="s">
        <v>106</v>
      </c>
      <c r="J4" s="336"/>
      <c r="K4" s="336"/>
      <c r="L4" s="336"/>
      <c r="M4" s="336"/>
      <c r="N4" s="336"/>
      <c r="O4" s="333" t="s">
        <v>107</v>
      </c>
      <c r="P4" s="333" t="s">
        <v>108</v>
      </c>
      <c r="Q4" s="341" t="s">
        <v>109</v>
      </c>
      <c r="R4" s="349"/>
      <c r="S4" s="349"/>
      <c r="T4" s="335"/>
      <c r="U4" s="336" t="s">
        <v>110</v>
      </c>
      <c r="V4" s="336"/>
      <c r="W4" s="341" t="s">
        <v>111</v>
      </c>
      <c r="X4" s="349"/>
      <c r="Y4" s="335"/>
      <c r="Z4" s="333" t="s">
        <v>112</v>
      </c>
      <c r="AA4" s="336" t="s">
        <v>113</v>
      </c>
      <c r="AB4" s="336"/>
      <c r="AC4" s="333" t="s">
        <v>114</v>
      </c>
      <c r="AD4" s="333" t="s">
        <v>115</v>
      </c>
    </row>
    <row r="5" spans="1:30" s="620" customFormat="1" ht="15.75" customHeight="1">
      <c r="A5" s="337"/>
      <c r="B5" s="334"/>
      <c r="C5" s="334" t="s">
        <v>116</v>
      </c>
      <c r="D5" s="334" t="s">
        <v>117</v>
      </c>
      <c r="E5" s="334" t="s">
        <v>118</v>
      </c>
      <c r="F5" s="303" t="s">
        <v>119</v>
      </c>
      <c r="G5" s="304"/>
      <c r="H5" s="304"/>
      <c r="I5" s="336" t="s">
        <v>120</v>
      </c>
      <c r="J5" s="336"/>
      <c r="K5" s="336" t="s">
        <v>121</v>
      </c>
      <c r="L5" s="336"/>
      <c r="M5" s="336" t="s">
        <v>122</v>
      </c>
      <c r="N5" s="336"/>
      <c r="O5" s="337"/>
      <c r="P5" s="347" t="s">
        <v>123</v>
      </c>
      <c r="Q5" s="333"/>
      <c r="R5" s="333"/>
      <c r="S5" s="333"/>
      <c r="T5" s="333"/>
      <c r="U5" s="336" t="s">
        <v>124</v>
      </c>
      <c r="V5" s="336"/>
      <c r="W5" s="333" t="s">
        <v>125</v>
      </c>
      <c r="X5" s="333" t="s">
        <v>126</v>
      </c>
      <c r="Y5" s="333" t="s">
        <v>126</v>
      </c>
      <c r="Z5" s="337" t="s">
        <v>127</v>
      </c>
      <c r="AA5" s="336" t="s">
        <v>128</v>
      </c>
      <c r="AB5" s="336"/>
      <c r="AC5" s="338" t="s">
        <v>129</v>
      </c>
      <c r="AD5" s="338" t="s">
        <v>130</v>
      </c>
    </row>
    <row r="6" spans="1:30" s="620" customFormat="1" ht="15.75" customHeight="1">
      <c r="A6" s="337"/>
      <c r="B6" s="334"/>
      <c r="C6" s="334"/>
      <c r="D6" s="334"/>
      <c r="E6" s="334"/>
      <c r="F6" s="303"/>
      <c r="G6" s="304"/>
      <c r="H6" s="304"/>
      <c r="I6" s="336"/>
      <c r="J6" s="336"/>
      <c r="K6" s="336"/>
      <c r="L6" s="336"/>
      <c r="M6" s="336"/>
      <c r="N6" s="336"/>
      <c r="O6" s="338" t="s">
        <v>131</v>
      </c>
      <c r="P6" s="348" t="s">
        <v>132</v>
      </c>
      <c r="Q6" s="337"/>
      <c r="R6" s="337" t="s">
        <v>133</v>
      </c>
      <c r="S6" s="337"/>
      <c r="T6" s="337"/>
      <c r="U6" s="336"/>
      <c r="V6" s="336"/>
      <c r="W6" s="337"/>
      <c r="X6" s="337"/>
      <c r="Y6" s="337"/>
      <c r="Z6" s="338" t="s">
        <v>134</v>
      </c>
      <c r="AA6" s="336"/>
      <c r="AB6" s="336"/>
      <c r="AC6" s="333" t="s">
        <v>135</v>
      </c>
      <c r="AD6" s="329" t="s">
        <v>136</v>
      </c>
    </row>
    <row r="7" spans="1:30" s="620" customFormat="1" ht="15.75">
      <c r="A7" s="338" t="s">
        <v>137</v>
      </c>
      <c r="B7" s="334"/>
      <c r="C7" s="334"/>
      <c r="D7" s="334"/>
      <c r="E7" s="334"/>
      <c r="F7" s="335" t="s">
        <v>120</v>
      </c>
      <c r="G7" s="336" t="s">
        <v>121</v>
      </c>
      <c r="H7" s="336" t="s">
        <v>122</v>
      </c>
      <c r="I7" s="336" t="s">
        <v>138</v>
      </c>
      <c r="J7" s="336" t="s">
        <v>139</v>
      </c>
      <c r="K7" s="336" t="s">
        <v>138</v>
      </c>
      <c r="L7" s="336" t="s">
        <v>139</v>
      </c>
      <c r="M7" s="336" t="s">
        <v>138</v>
      </c>
      <c r="N7" s="336" t="s">
        <v>139</v>
      </c>
      <c r="O7" s="336" t="s">
        <v>128</v>
      </c>
      <c r="P7" s="336" t="s">
        <v>128</v>
      </c>
      <c r="Q7" s="326" t="s">
        <v>140</v>
      </c>
      <c r="R7" s="338" t="s">
        <v>141</v>
      </c>
      <c r="S7" s="338" t="s">
        <v>142</v>
      </c>
      <c r="T7" s="338" t="s">
        <v>122</v>
      </c>
      <c r="U7" s="336" t="s">
        <v>138</v>
      </c>
      <c r="V7" s="336" t="s">
        <v>139</v>
      </c>
      <c r="W7" s="338"/>
      <c r="X7" s="338" t="s">
        <v>143</v>
      </c>
      <c r="Y7" s="338" t="s">
        <v>144</v>
      </c>
      <c r="Z7" s="336" t="s">
        <v>145</v>
      </c>
      <c r="AA7" s="304" t="s">
        <v>146</v>
      </c>
      <c r="AB7" s="304" t="s">
        <v>147</v>
      </c>
      <c r="AC7" s="338" t="s">
        <v>148</v>
      </c>
      <c r="AD7" s="326"/>
    </row>
    <row r="8" spans="1:31" ht="17.25" customHeight="1">
      <c r="A8" s="716">
        <v>1</v>
      </c>
      <c r="B8" s="717" t="s">
        <v>337</v>
      </c>
      <c r="C8" s="716"/>
      <c r="D8" s="716" t="s">
        <v>150</v>
      </c>
      <c r="E8" s="716"/>
      <c r="F8" s="716">
        <v>101.194</v>
      </c>
      <c r="G8" s="716">
        <v>2.47</v>
      </c>
      <c r="H8" s="716">
        <f aca="true" t="shared" si="0" ref="H8:H55">F8+G8</f>
        <v>103.664</v>
      </c>
      <c r="I8" s="725">
        <v>1557.8</v>
      </c>
      <c r="J8" s="725">
        <v>56</v>
      </c>
      <c r="K8" s="725">
        <v>1950</v>
      </c>
      <c r="L8" s="725">
        <v>24</v>
      </c>
      <c r="M8" s="725">
        <f aca="true" t="shared" si="1" ref="M8:M55">I8+K8</f>
        <v>3507.8</v>
      </c>
      <c r="N8" s="725">
        <f aca="true" t="shared" si="2" ref="N8:N55">L8+J8</f>
        <v>80</v>
      </c>
      <c r="O8" s="716">
        <f>N8*3-6+2*3</f>
        <v>240</v>
      </c>
      <c r="P8" s="716">
        <f>N8*3-6+5*3</f>
        <v>249</v>
      </c>
      <c r="Q8" s="716"/>
      <c r="R8" s="716">
        <v>3</v>
      </c>
      <c r="S8" s="716"/>
      <c r="T8" s="716">
        <f aca="true" t="shared" si="3" ref="T8:T54">Q8+R8+S8</f>
        <v>3</v>
      </c>
      <c r="U8" s="716"/>
      <c r="V8" s="716"/>
      <c r="W8" s="725">
        <v>1644</v>
      </c>
      <c r="X8" s="725">
        <v>185</v>
      </c>
      <c r="Y8" s="725">
        <v>36</v>
      </c>
      <c r="Z8" s="725">
        <v>4</v>
      </c>
      <c r="AA8" s="725">
        <v>27</v>
      </c>
      <c r="AB8" s="716"/>
      <c r="AC8" s="730">
        <v>363.5382</v>
      </c>
      <c r="AD8" s="725">
        <v>4.88</v>
      </c>
      <c r="AE8" s="731" t="s">
        <v>338</v>
      </c>
    </row>
    <row r="9" spans="1:31" ht="17.25" customHeight="1">
      <c r="A9" s="718">
        <v>2</v>
      </c>
      <c r="B9" s="719" t="s">
        <v>339</v>
      </c>
      <c r="C9" s="718"/>
      <c r="D9" s="718"/>
      <c r="E9" s="718" t="s">
        <v>150</v>
      </c>
      <c r="F9" s="718"/>
      <c r="G9" s="718">
        <v>97.461</v>
      </c>
      <c r="H9" s="716">
        <f t="shared" si="0"/>
        <v>97.461</v>
      </c>
      <c r="I9" s="726"/>
      <c r="J9" s="726"/>
      <c r="K9" s="726">
        <v>5555</v>
      </c>
      <c r="L9" s="726">
        <v>93</v>
      </c>
      <c r="M9" s="725">
        <f t="shared" si="1"/>
        <v>5555</v>
      </c>
      <c r="N9" s="725">
        <f t="shared" si="2"/>
        <v>93</v>
      </c>
      <c r="O9" s="716">
        <f>N9*3</f>
        <v>279</v>
      </c>
      <c r="P9" s="716">
        <f>L9*3</f>
        <v>279</v>
      </c>
      <c r="Q9" s="718"/>
      <c r="R9" s="718">
        <v>0</v>
      </c>
      <c r="S9" s="718"/>
      <c r="T9" s="716">
        <f t="shared" si="3"/>
        <v>0</v>
      </c>
      <c r="U9" s="718"/>
      <c r="V9" s="718"/>
      <c r="W9" s="726"/>
      <c r="X9" s="726"/>
      <c r="Y9" s="726"/>
      <c r="Z9" s="726"/>
      <c r="AA9" s="726"/>
      <c r="AB9" s="718"/>
      <c r="AC9" s="732">
        <v>408.75</v>
      </c>
      <c r="AD9" s="733">
        <v>0</v>
      </c>
      <c r="AE9" s="734"/>
    </row>
    <row r="10" spans="1:31" ht="17.25" customHeight="1">
      <c r="A10" s="716">
        <v>3</v>
      </c>
      <c r="B10" s="719" t="s">
        <v>340</v>
      </c>
      <c r="C10" s="718"/>
      <c r="D10" s="718" t="s">
        <v>150</v>
      </c>
      <c r="E10" s="718"/>
      <c r="F10" s="718">
        <v>189.398</v>
      </c>
      <c r="G10" s="718">
        <v>13.546</v>
      </c>
      <c r="H10" s="716">
        <f t="shared" si="0"/>
        <v>202.944</v>
      </c>
      <c r="I10" s="726">
        <v>1154.5</v>
      </c>
      <c r="J10" s="726">
        <v>66</v>
      </c>
      <c r="K10" s="726">
        <v>1982.6</v>
      </c>
      <c r="L10" s="726">
        <v>33</v>
      </c>
      <c r="M10" s="725">
        <f t="shared" si="1"/>
        <v>3137.1</v>
      </c>
      <c r="N10" s="725">
        <f t="shared" si="2"/>
        <v>99</v>
      </c>
      <c r="O10" s="716">
        <f>N10*3-6+5*3+3</f>
        <v>309</v>
      </c>
      <c r="P10" s="716">
        <f>N10*3+4*3+5*3+3</f>
        <v>327</v>
      </c>
      <c r="Q10" s="718"/>
      <c r="R10" s="718">
        <v>4</v>
      </c>
      <c r="S10" s="718"/>
      <c r="T10" s="716">
        <f t="shared" si="3"/>
        <v>4</v>
      </c>
      <c r="U10" s="718">
        <v>200</v>
      </c>
      <c r="V10" s="718">
        <v>1</v>
      </c>
      <c r="W10" s="726">
        <v>1257</v>
      </c>
      <c r="X10" s="726">
        <v>19</v>
      </c>
      <c r="Y10" s="726">
        <v>31</v>
      </c>
      <c r="Z10" s="726">
        <v>4</v>
      </c>
      <c r="AA10" s="726">
        <v>30</v>
      </c>
      <c r="AB10" s="718"/>
      <c r="AC10" s="732">
        <v>324.8479</v>
      </c>
      <c r="AD10" s="733">
        <v>4.4</v>
      </c>
      <c r="AE10" s="734" t="s">
        <v>341</v>
      </c>
    </row>
    <row r="11" spans="1:37" ht="17.25" customHeight="1">
      <c r="A11" s="718">
        <v>4</v>
      </c>
      <c r="B11" s="719" t="s">
        <v>342</v>
      </c>
      <c r="C11" s="718"/>
      <c r="D11" s="718" t="s">
        <v>150</v>
      </c>
      <c r="E11" s="718"/>
      <c r="F11" s="718">
        <v>33.2102</v>
      </c>
      <c r="G11" s="718">
        <v>1.39</v>
      </c>
      <c r="H11" s="716">
        <f t="shared" si="0"/>
        <v>34.6002</v>
      </c>
      <c r="I11" s="726">
        <v>510</v>
      </c>
      <c r="J11" s="726">
        <v>18</v>
      </c>
      <c r="K11" s="726">
        <v>326.3</v>
      </c>
      <c r="L11" s="726">
        <v>12</v>
      </c>
      <c r="M11" s="725">
        <f t="shared" si="1"/>
        <v>836.3</v>
      </c>
      <c r="N11" s="725">
        <f t="shared" si="2"/>
        <v>30</v>
      </c>
      <c r="O11" s="716">
        <f>N11*3-1+3*3</f>
        <v>98</v>
      </c>
      <c r="P11" s="716">
        <f>N11*3+3*3</f>
        <v>99</v>
      </c>
      <c r="Q11" s="718"/>
      <c r="R11" s="718">
        <v>2</v>
      </c>
      <c r="S11" s="718"/>
      <c r="T11" s="716">
        <f t="shared" si="3"/>
        <v>2</v>
      </c>
      <c r="U11" s="718">
        <v>60</v>
      </c>
      <c r="V11" s="718">
        <v>2</v>
      </c>
      <c r="W11" s="726">
        <v>399</v>
      </c>
      <c r="X11" s="726">
        <v>26</v>
      </c>
      <c r="Y11" s="726">
        <v>9</v>
      </c>
      <c r="Z11" s="726"/>
      <c r="AA11" s="726">
        <v>6</v>
      </c>
      <c r="AB11" s="718"/>
      <c r="AC11" s="732">
        <v>74.5506</v>
      </c>
      <c r="AD11" s="726">
        <v>4.05</v>
      </c>
      <c r="AE11" s="731" t="s">
        <v>343</v>
      </c>
      <c r="AF11" s="735"/>
      <c r="AG11" s="735"/>
      <c r="AH11" s="735"/>
      <c r="AI11" s="735"/>
      <c r="AJ11" s="735"/>
      <c r="AK11" s="735"/>
    </row>
    <row r="12" spans="1:31" ht="17.25" customHeight="1">
      <c r="A12" s="716"/>
      <c r="B12" s="719" t="s">
        <v>344</v>
      </c>
      <c r="C12" s="718"/>
      <c r="D12" s="718" t="s">
        <v>150</v>
      </c>
      <c r="E12" s="718"/>
      <c r="F12" s="718">
        <v>56.359</v>
      </c>
      <c r="G12" s="718">
        <v>4.669</v>
      </c>
      <c r="H12" s="716">
        <f t="shared" si="0"/>
        <v>61.028</v>
      </c>
      <c r="I12" s="726">
        <v>716.3</v>
      </c>
      <c r="J12" s="726">
        <v>24</v>
      </c>
      <c r="K12" s="726">
        <v>550</v>
      </c>
      <c r="L12" s="726">
        <v>9</v>
      </c>
      <c r="M12" s="725">
        <f t="shared" si="1"/>
        <v>1266.3</v>
      </c>
      <c r="N12" s="725">
        <f t="shared" si="2"/>
        <v>33</v>
      </c>
      <c r="O12" s="716">
        <f>N12*3-1</f>
        <v>98</v>
      </c>
      <c r="P12" s="716">
        <f>N12*3-1</f>
        <v>98</v>
      </c>
      <c r="Q12" s="718"/>
      <c r="R12" s="718">
        <v>2</v>
      </c>
      <c r="S12" s="718"/>
      <c r="T12" s="716">
        <f t="shared" si="3"/>
        <v>2</v>
      </c>
      <c r="U12" s="718"/>
      <c r="V12" s="718"/>
      <c r="W12" s="726">
        <v>692</v>
      </c>
      <c r="X12" s="726">
        <v>47</v>
      </c>
      <c r="Y12" s="726"/>
      <c r="Z12" s="726">
        <v>1</v>
      </c>
      <c r="AA12" s="726">
        <v>6</v>
      </c>
      <c r="AB12" s="718"/>
      <c r="AC12" s="732">
        <v>153.751</v>
      </c>
      <c r="AD12" s="726">
        <v>5.21</v>
      </c>
      <c r="AE12" s="734"/>
    </row>
    <row r="13" spans="1:31" ht="17.25" customHeight="1">
      <c r="A13" s="718">
        <v>6</v>
      </c>
      <c r="B13" s="719" t="s">
        <v>345</v>
      </c>
      <c r="C13" s="718" t="s">
        <v>150</v>
      </c>
      <c r="D13" s="718"/>
      <c r="E13" s="718"/>
      <c r="F13" s="718">
        <v>11.831</v>
      </c>
      <c r="G13" s="718">
        <f>1.011+0.03+0.85+0.11+0.27</f>
        <v>2.271</v>
      </c>
      <c r="H13" s="716">
        <f t="shared" si="0"/>
        <v>14.102</v>
      </c>
      <c r="I13" s="726">
        <v>3305</v>
      </c>
      <c r="J13" s="726">
        <v>14</v>
      </c>
      <c r="K13" s="726">
        <v>15723</v>
      </c>
      <c r="L13" s="726">
        <v>77</v>
      </c>
      <c r="M13" s="725">
        <f t="shared" si="1"/>
        <v>19028</v>
      </c>
      <c r="N13" s="725">
        <f t="shared" si="2"/>
        <v>91</v>
      </c>
      <c r="O13" s="716">
        <f>N13*3-2*3</f>
        <v>267</v>
      </c>
      <c r="P13" s="716">
        <f aca="true" t="shared" si="4" ref="P13:P15">N13*3</f>
        <v>273</v>
      </c>
      <c r="Q13" s="718"/>
      <c r="R13" s="718">
        <v>4</v>
      </c>
      <c r="S13" s="718"/>
      <c r="T13" s="716">
        <f t="shared" si="3"/>
        <v>4</v>
      </c>
      <c r="U13" s="718"/>
      <c r="V13" s="718"/>
      <c r="W13" s="726">
        <v>1248</v>
      </c>
      <c r="X13" s="726">
        <v>98</v>
      </c>
      <c r="Y13" s="726">
        <f>27+6</f>
        <v>33</v>
      </c>
      <c r="Z13" s="726">
        <v>27</v>
      </c>
      <c r="AA13" s="726">
        <v>123</v>
      </c>
      <c r="AB13" s="718"/>
      <c r="AC13" s="732">
        <v>2422.1441</v>
      </c>
      <c r="AD13" s="726">
        <v>2.66</v>
      </c>
      <c r="AE13" s="736" t="s">
        <v>346</v>
      </c>
    </row>
    <row r="14" spans="1:31" ht="16.5" customHeight="1">
      <c r="A14" s="716">
        <v>7</v>
      </c>
      <c r="B14" s="719" t="s">
        <v>347</v>
      </c>
      <c r="C14" s="718" t="s">
        <v>150</v>
      </c>
      <c r="D14" s="718"/>
      <c r="E14" s="718"/>
      <c r="F14" s="718">
        <v>4.999</v>
      </c>
      <c r="G14" s="718">
        <f>3.425+0.2</f>
        <v>3.625</v>
      </c>
      <c r="H14" s="716">
        <f t="shared" si="0"/>
        <v>8.623999999999999</v>
      </c>
      <c r="I14" s="726">
        <v>535</v>
      </c>
      <c r="J14" s="726">
        <v>3</v>
      </c>
      <c r="K14" s="726">
        <v>17490</v>
      </c>
      <c r="L14" s="726">
        <v>59</v>
      </c>
      <c r="M14" s="725">
        <f t="shared" si="1"/>
        <v>18025</v>
      </c>
      <c r="N14" s="725">
        <f t="shared" si="2"/>
        <v>62</v>
      </c>
      <c r="O14" s="716">
        <f>N14*3-3*3</f>
        <v>177</v>
      </c>
      <c r="P14" s="716">
        <f t="shared" si="4"/>
        <v>186</v>
      </c>
      <c r="Q14" s="718"/>
      <c r="R14" s="718">
        <v>3</v>
      </c>
      <c r="S14" s="718"/>
      <c r="T14" s="716">
        <f t="shared" si="3"/>
        <v>3</v>
      </c>
      <c r="U14" s="718"/>
      <c r="V14" s="718"/>
      <c r="W14" s="726">
        <v>1065</v>
      </c>
      <c r="X14" s="726">
        <v>215</v>
      </c>
      <c r="Y14" s="726">
        <v>7</v>
      </c>
      <c r="Z14" s="726">
        <v>20</v>
      </c>
      <c r="AA14" s="726">
        <v>66</v>
      </c>
      <c r="AB14" s="718"/>
      <c r="AC14" s="732">
        <v>1585.871</v>
      </c>
      <c r="AD14" s="726">
        <v>4.89</v>
      </c>
      <c r="AE14" s="736" t="s">
        <v>348</v>
      </c>
    </row>
    <row r="15" spans="1:31" ht="17.25" customHeight="1">
      <c r="A15" s="718">
        <v>8</v>
      </c>
      <c r="B15" s="719" t="s">
        <v>349</v>
      </c>
      <c r="C15" s="718" t="s">
        <v>150</v>
      </c>
      <c r="D15" s="718"/>
      <c r="E15" s="718"/>
      <c r="F15" s="718">
        <v>16.747</v>
      </c>
      <c r="G15" s="718">
        <f>0.13+0.071</f>
        <v>0.201</v>
      </c>
      <c r="H15" s="718">
        <f t="shared" si="0"/>
        <v>16.948</v>
      </c>
      <c r="I15" s="726">
        <v>3495</v>
      </c>
      <c r="J15" s="726">
        <v>19</v>
      </c>
      <c r="K15" s="726">
        <v>48415</v>
      </c>
      <c r="L15" s="726">
        <v>151</v>
      </c>
      <c r="M15" s="725">
        <f t="shared" si="1"/>
        <v>51910</v>
      </c>
      <c r="N15" s="725">
        <f t="shared" si="2"/>
        <v>170</v>
      </c>
      <c r="O15" s="716">
        <f>N15*3-5*3</f>
        <v>495</v>
      </c>
      <c r="P15" s="716">
        <f t="shared" si="4"/>
        <v>510</v>
      </c>
      <c r="Q15" s="718"/>
      <c r="R15" s="718">
        <v>5</v>
      </c>
      <c r="S15" s="718"/>
      <c r="T15" s="716">
        <f t="shared" si="3"/>
        <v>5</v>
      </c>
      <c r="U15" s="718"/>
      <c r="V15" s="718"/>
      <c r="W15" s="726">
        <v>1416</v>
      </c>
      <c r="X15" s="726">
        <v>230</v>
      </c>
      <c r="Y15" s="726">
        <v>6</v>
      </c>
      <c r="Z15" s="726">
        <v>42</v>
      </c>
      <c r="AA15" s="726">
        <v>246</v>
      </c>
      <c r="AB15" s="718"/>
      <c r="AC15" s="732">
        <v>2812.3593</v>
      </c>
      <c r="AD15" s="726">
        <v>2.14</v>
      </c>
      <c r="AE15" s="736" t="s">
        <v>350</v>
      </c>
    </row>
    <row r="16" spans="1:31" ht="17.25" customHeight="1">
      <c r="A16" s="716">
        <v>9</v>
      </c>
      <c r="B16" s="719" t="s">
        <v>351</v>
      </c>
      <c r="C16" s="718"/>
      <c r="D16" s="718" t="s">
        <v>150</v>
      </c>
      <c r="E16" s="718"/>
      <c r="F16" s="718">
        <v>107.04</v>
      </c>
      <c r="G16" s="718">
        <f>8.884+1.6+0.32+3.963+1.27+0.03+0.4+0.21+0.086+0.16+0.46+1+0.76+1.98+0.3+0.4+0.55+0.06+0.32</f>
        <v>22.753</v>
      </c>
      <c r="H16" s="716">
        <f t="shared" si="0"/>
        <v>129.793</v>
      </c>
      <c r="I16" s="726">
        <v>2415</v>
      </c>
      <c r="J16" s="726">
        <v>62</v>
      </c>
      <c r="K16" s="726">
        <v>13744.3</v>
      </c>
      <c r="L16" s="726">
        <v>78</v>
      </c>
      <c r="M16" s="725">
        <f t="shared" si="1"/>
        <v>16159.3</v>
      </c>
      <c r="N16" s="725">
        <f t="shared" si="2"/>
        <v>140</v>
      </c>
      <c r="O16" s="716">
        <f>N16*3-1+7*3+1*3</f>
        <v>443</v>
      </c>
      <c r="P16" s="716">
        <f>N16*3-1+4*3+7*3+3+3</f>
        <v>458</v>
      </c>
      <c r="Q16" s="718"/>
      <c r="R16" s="718">
        <v>4</v>
      </c>
      <c r="S16" s="718"/>
      <c r="T16" s="716">
        <f t="shared" si="3"/>
        <v>4</v>
      </c>
      <c r="U16" s="718">
        <v>200</v>
      </c>
      <c r="V16" s="718">
        <v>1</v>
      </c>
      <c r="W16" s="726">
        <v>1615</v>
      </c>
      <c r="X16" s="726">
        <v>154</v>
      </c>
      <c r="Y16" s="726">
        <v>53</v>
      </c>
      <c r="Z16" s="726">
        <v>18</v>
      </c>
      <c r="AA16" s="726">
        <v>87</v>
      </c>
      <c r="AB16" s="718"/>
      <c r="AC16" s="732">
        <v>1304.3387</v>
      </c>
      <c r="AD16" s="726">
        <v>6.11</v>
      </c>
      <c r="AE16" s="734" t="s">
        <v>352</v>
      </c>
    </row>
    <row r="17" spans="1:31" ht="17.25" customHeight="1">
      <c r="A17" s="718">
        <v>10</v>
      </c>
      <c r="B17" s="719" t="s">
        <v>353</v>
      </c>
      <c r="C17" s="718"/>
      <c r="D17" s="718" t="s">
        <v>150</v>
      </c>
      <c r="E17" s="718"/>
      <c r="F17" s="718">
        <v>114.835</v>
      </c>
      <c r="G17" s="718">
        <f>6.631+2.255+0.97+0.15+0.66+0.91+1.85+1.33+0.07+1+0.2+0.27+1.91</f>
        <v>18.206</v>
      </c>
      <c r="H17" s="716">
        <f t="shared" si="0"/>
        <v>133.041</v>
      </c>
      <c r="I17" s="726">
        <v>2080</v>
      </c>
      <c r="J17" s="726">
        <v>57</v>
      </c>
      <c r="K17" s="726">
        <v>8043.9</v>
      </c>
      <c r="L17" s="726">
        <v>74</v>
      </c>
      <c r="M17" s="725">
        <f t="shared" si="1"/>
        <v>10123.9</v>
      </c>
      <c r="N17" s="725">
        <f t="shared" si="2"/>
        <v>131</v>
      </c>
      <c r="O17" s="716">
        <f>N17*3+5*3-2</f>
        <v>406</v>
      </c>
      <c r="P17" s="716">
        <f>N17*3-2+7*3</f>
        <v>412</v>
      </c>
      <c r="Q17" s="718"/>
      <c r="R17" s="718">
        <v>4</v>
      </c>
      <c r="S17" s="718"/>
      <c r="T17" s="716">
        <f t="shared" si="3"/>
        <v>4</v>
      </c>
      <c r="U17" s="718">
        <v>270</v>
      </c>
      <c r="V17" s="718">
        <v>9</v>
      </c>
      <c r="W17" s="726">
        <v>1368</v>
      </c>
      <c r="X17" s="726">
        <v>130</v>
      </c>
      <c r="Y17" s="726">
        <v>35</v>
      </c>
      <c r="Z17" s="726">
        <v>22</v>
      </c>
      <c r="AA17" s="726">
        <v>33</v>
      </c>
      <c r="AB17" s="718"/>
      <c r="AC17" s="732">
        <v>840.4237</v>
      </c>
      <c r="AD17" s="726">
        <v>8.73</v>
      </c>
      <c r="AE17" s="734" t="s">
        <v>354</v>
      </c>
    </row>
    <row r="18" spans="1:31" ht="17.25" customHeight="1">
      <c r="A18" s="716">
        <v>11</v>
      </c>
      <c r="B18" s="719" t="s">
        <v>355</v>
      </c>
      <c r="C18" s="718"/>
      <c r="D18" s="718" t="s">
        <v>150</v>
      </c>
      <c r="E18" s="718"/>
      <c r="F18" s="718">
        <v>67.6977</v>
      </c>
      <c r="G18" s="718">
        <f>2.33+0.6+2.255</f>
        <v>5.1850000000000005</v>
      </c>
      <c r="H18" s="716">
        <f t="shared" si="0"/>
        <v>72.8827</v>
      </c>
      <c r="I18" s="726">
        <v>1230</v>
      </c>
      <c r="J18" s="726">
        <v>43</v>
      </c>
      <c r="K18" s="726">
        <v>1406.3</v>
      </c>
      <c r="L18" s="726">
        <v>18</v>
      </c>
      <c r="M18" s="725">
        <f t="shared" si="1"/>
        <v>2636.3</v>
      </c>
      <c r="N18" s="725">
        <f t="shared" si="2"/>
        <v>61</v>
      </c>
      <c r="O18" s="716">
        <f>N18*3-1+3</f>
        <v>185</v>
      </c>
      <c r="P18" s="716">
        <f>N18*3-1+3*3</f>
        <v>191</v>
      </c>
      <c r="Q18" s="718"/>
      <c r="R18" s="718">
        <v>3</v>
      </c>
      <c r="S18" s="718"/>
      <c r="T18" s="716">
        <f t="shared" si="3"/>
        <v>3</v>
      </c>
      <c r="U18" s="718">
        <v>180</v>
      </c>
      <c r="V18" s="718">
        <v>6</v>
      </c>
      <c r="W18" s="726">
        <v>1251</v>
      </c>
      <c r="X18" s="726">
        <v>74</v>
      </c>
      <c r="Y18" s="726">
        <v>10</v>
      </c>
      <c r="Z18" s="726">
        <v>5</v>
      </c>
      <c r="AA18" s="726">
        <v>12</v>
      </c>
      <c r="AB18" s="718"/>
      <c r="AC18" s="732">
        <v>220.3868</v>
      </c>
      <c r="AD18" s="726">
        <v>6.54</v>
      </c>
      <c r="AE18" s="734" t="s">
        <v>356</v>
      </c>
    </row>
    <row r="19" spans="1:31" ht="17.25" customHeight="1">
      <c r="A19" s="718">
        <v>12</v>
      </c>
      <c r="B19" s="719" t="s">
        <v>357</v>
      </c>
      <c r="C19" s="718"/>
      <c r="D19" s="718" t="s">
        <v>150</v>
      </c>
      <c r="E19" s="718"/>
      <c r="F19" s="718">
        <v>55.27</v>
      </c>
      <c r="G19" s="718">
        <f>4.18+1.81+1.146+0.16+0.25</f>
        <v>7.546</v>
      </c>
      <c r="H19" s="716">
        <f t="shared" si="0"/>
        <v>62.816</v>
      </c>
      <c r="I19" s="726">
        <v>1240</v>
      </c>
      <c r="J19" s="726">
        <v>50</v>
      </c>
      <c r="K19" s="726">
        <v>2265</v>
      </c>
      <c r="L19" s="726">
        <v>32</v>
      </c>
      <c r="M19" s="725">
        <f t="shared" si="1"/>
        <v>3505</v>
      </c>
      <c r="N19" s="725">
        <f t="shared" si="2"/>
        <v>82</v>
      </c>
      <c r="O19" s="716">
        <f>N19*3+4*3</f>
        <v>258</v>
      </c>
      <c r="P19" s="716">
        <f>N19*3+3*3+3+3+2*3</f>
        <v>267</v>
      </c>
      <c r="Q19" s="718"/>
      <c r="R19" s="718">
        <v>2</v>
      </c>
      <c r="S19" s="718"/>
      <c r="T19" s="716">
        <f t="shared" si="3"/>
        <v>2</v>
      </c>
      <c r="U19" s="718">
        <v>90</v>
      </c>
      <c r="V19" s="718">
        <v>3</v>
      </c>
      <c r="W19" s="726">
        <v>1235</v>
      </c>
      <c r="X19" s="726">
        <v>70</v>
      </c>
      <c r="Y19" s="726">
        <v>13</v>
      </c>
      <c r="Z19" s="726">
        <v>6</v>
      </c>
      <c r="AA19" s="726">
        <v>3</v>
      </c>
      <c r="AB19" s="718"/>
      <c r="AC19" s="732">
        <v>192.7334</v>
      </c>
      <c r="AD19" s="726">
        <v>6.53</v>
      </c>
      <c r="AE19" s="734" t="s">
        <v>358</v>
      </c>
    </row>
    <row r="20" spans="1:30" ht="17.25" customHeight="1">
      <c r="A20" s="716">
        <v>13</v>
      </c>
      <c r="B20" s="719" t="s">
        <v>359</v>
      </c>
      <c r="C20" s="718" t="s">
        <v>150</v>
      </c>
      <c r="D20" s="718"/>
      <c r="E20" s="718"/>
      <c r="F20" s="718">
        <v>2.201</v>
      </c>
      <c r="G20" s="718">
        <v>0.39</v>
      </c>
      <c r="H20" s="716">
        <f t="shared" si="0"/>
        <v>2.591</v>
      </c>
      <c r="I20" s="726">
        <v>500</v>
      </c>
      <c r="J20" s="726">
        <v>3</v>
      </c>
      <c r="K20" s="726">
        <v>403</v>
      </c>
      <c r="L20" s="726">
        <v>7</v>
      </c>
      <c r="M20" s="725">
        <f t="shared" si="1"/>
        <v>903</v>
      </c>
      <c r="N20" s="725">
        <f t="shared" si="2"/>
        <v>10</v>
      </c>
      <c r="O20" s="716">
        <f>N20*3</f>
        <v>30</v>
      </c>
      <c r="P20" s="716">
        <f>N20*3</f>
        <v>30</v>
      </c>
      <c r="Q20" s="718"/>
      <c r="R20" s="718"/>
      <c r="S20" s="718"/>
      <c r="T20" s="716"/>
      <c r="U20" s="718"/>
      <c r="V20" s="718"/>
      <c r="W20" s="726">
        <v>155</v>
      </c>
      <c r="X20" s="726">
        <v>32</v>
      </c>
      <c r="Y20" s="726"/>
      <c r="Z20" s="726">
        <v>2</v>
      </c>
      <c r="AA20" s="726">
        <v>9</v>
      </c>
      <c r="AB20" s="718"/>
      <c r="AC20" s="732">
        <v>176.6153</v>
      </c>
      <c r="AD20" s="726">
        <v>6.3</v>
      </c>
    </row>
    <row r="21" spans="1:31" ht="17.25" customHeight="1">
      <c r="A21" s="718">
        <v>14</v>
      </c>
      <c r="B21" s="719" t="s">
        <v>360</v>
      </c>
      <c r="C21" s="718" t="s">
        <v>150</v>
      </c>
      <c r="D21" s="718"/>
      <c r="E21" s="718"/>
      <c r="F21" s="718">
        <v>21.116</v>
      </c>
      <c r="G21" s="718"/>
      <c r="H21" s="716">
        <f t="shared" si="0"/>
        <v>21.116</v>
      </c>
      <c r="I21" s="726">
        <v>930</v>
      </c>
      <c r="J21" s="726">
        <v>17</v>
      </c>
      <c r="K21" s="726">
        <v>1335</v>
      </c>
      <c r="L21" s="726">
        <v>19</v>
      </c>
      <c r="M21" s="725">
        <f t="shared" si="1"/>
        <v>2265</v>
      </c>
      <c r="N21" s="725">
        <f t="shared" si="2"/>
        <v>36</v>
      </c>
      <c r="O21" s="716">
        <f>N21*3+2*3</f>
        <v>114</v>
      </c>
      <c r="P21" s="716">
        <f>N21*3+3*3</f>
        <v>117</v>
      </c>
      <c r="Q21" s="718"/>
      <c r="R21" s="718">
        <v>1</v>
      </c>
      <c r="S21" s="718"/>
      <c r="T21" s="716">
        <f t="shared" si="3"/>
        <v>1</v>
      </c>
      <c r="U21" s="718">
        <v>90</v>
      </c>
      <c r="V21" s="718">
        <v>3</v>
      </c>
      <c r="W21" s="726">
        <v>886</v>
      </c>
      <c r="X21" s="726">
        <v>76</v>
      </c>
      <c r="Y21" s="726">
        <v>12</v>
      </c>
      <c r="Z21" s="726">
        <v>1</v>
      </c>
      <c r="AA21" s="726">
        <v>84</v>
      </c>
      <c r="AB21" s="718"/>
      <c r="AC21" s="732">
        <v>197.2267</v>
      </c>
      <c r="AD21" s="726">
        <v>4.95</v>
      </c>
      <c r="AE21" s="734" t="s">
        <v>361</v>
      </c>
    </row>
    <row r="22" spans="1:31" ht="17.25" customHeight="1">
      <c r="A22" s="716">
        <v>15</v>
      </c>
      <c r="B22" s="719" t="s">
        <v>362</v>
      </c>
      <c r="C22" s="718"/>
      <c r="D22" s="718" t="s">
        <v>150</v>
      </c>
      <c r="E22" s="718"/>
      <c r="F22" s="718">
        <v>95.664</v>
      </c>
      <c r="G22" s="718">
        <f>3.774+0.8+0.56</f>
        <v>5.134</v>
      </c>
      <c r="H22" s="718">
        <f t="shared" si="0"/>
        <v>100.798</v>
      </c>
      <c r="I22" s="726">
        <v>1350</v>
      </c>
      <c r="J22" s="726">
        <v>36</v>
      </c>
      <c r="K22" s="726">
        <v>630</v>
      </c>
      <c r="L22" s="726">
        <v>16</v>
      </c>
      <c r="M22" s="725">
        <f t="shared" si="1"/>
        <v>1980</v>
      </c>
      <c r="N22" s="725">
        <f t="shared" si="2"/>
        <v>52</v>
      </c>
      <c r="O22" s="716">
        <f>N22*3</f>
        <v>156</v>
      </c>
      <c r="P22" s="716">
        <f>N22*3+5*3</f>
        <v>171</v>
      </c>
      <c r="Q22" s="718"/>
      <c r="R22" s="718">
        <v>5</v>
      </c>
      <c r="S22" s="718"/>
      <c r="T22" s="716">
        <f t="shared" si="3"/>
        <v>5</v>
      </c>
      <c r="U22" s="718"/>
      <c r="V22" s="718"/>
      <c r="W22" s="726">
        <v>1192</v>
      </c>
      <c r="X22" s="726">
        <v>38</v>
      </c>
      <c r="Y22" s="726">
        <v>11</v>
      </c>
      <c r="Z22" s="726"/>
      <c r="AA22" s="726">
        <v>39</v>
      </c>
      <c r="AB22" s="718"/>
      <c r="AC22" s="732">
        <v>148.7585</v>
      </c>
      <c r="AD22" s="726">
        <v>5.37</v>
      </c>
      <c r="AE22" s="737" t="s">
        <v>363</v>
      </c>
    </row>
    <row r="23" spans="1:31" ht="17.25" customHeight="1">
      <c r="A23" s="718">
        <v>16</v>
      </c>
      <c r="B23" s="719" t="s">
        <v>364</v>
      </c>
      <c r="C23" s="718"/>
      <c r="D23" s="718" t="s">
        <v>150</v>
      </c>
      <c r="E23" s="718"/>
      <c r="F23" s="718">
        <v>101.626</v>
      </c>
      <c r="G23" s="718">
        <v>6.33</v>
      </c>
      <c r="H23" s="718">
        <f t="shared" si="0"/>
        <v>107.956</v>
      </c>
      <c r="I23" s="726">
        <v>1852.6</v>
      </c>
      <c r="J23" s="726">
        <v>63</v>
      </c>
      <c r="K23" s="726">
        <v>1970.6</v>
      </c>
      <c r="L23" s="726">
        <v>30</v>
      </c>
      <c r="M23" s="725">
        <f t="shared" si="1"/>
        <v>3823.2</v>
      </c>
      <c r="N23" s="725">
        <f t="shared" si="2"/>
        <v>93</v>
      </c>
      <c r="O23" s="716">
        <f>N23*3-5+7*3</f>
        <v>295</v>
      </c>
      <c r="P23" s="716">
        <f>N23*3-5+3*3+7*3</f>
        <v>304</v>
      </c>
      <c r="Q23" s="718"/>
      <c r="R23" s="718">
        <v>3</v>
      </c>
      <c r="S23" s="718"/>
      <c r="T23" s="718">
        <f t="shared" si="3"/>
        <v>3</v>
      </c>
      <c r="U23" s="718"/>
      <c r="V23" s="718"/>
      <c r="W23" s="726">
        <v>1471</v>
      </c>
      <c r="X23" s="726">
        <v>93</v>
      </c>
      <c r="Y23" s="726">
        <v>7</v>
      </c>
      <c r="Z23" s="726"/>
      <c r="AA23" s="726">
        <v>18</v>
      </c>
      <c r="AB23" s="718"/>
      <c r="AC23" s="732">
        <v>305.6771</v>
      </c>
      <c r="AD23" s="726">
        <v>8.7</v>
      </c>
      <c r="AE23" s="734" t="s">
        <v>365</v>
      </c>
    </row>
    <row r="24" spans="1:39" ht="17.25" customHeight="1">
      <c r="A24" s="716">
        <v>17</v>
      </c>
      <c r="B24" s="719" t="s">
        <v>366</v>
      </c>
      <c r="C24" s="718"/>
      <c r="D24" s="718" t="s">
        <v>150</v>
      </c>
      <c r="E24" s="718"/>
      <c r="F24" s="718">
        <v>221.04</v>
      </c>
      <c r="G24" s="718">
        <v>20.78</v>
      </c>
      <c r="H24" s="718">
        <f t="shared" si="0"/>
        <v>241.82</v>
      </c>
      <c r="I24" s="726">
        <v>2728.9</v>
      </c>
      <c r="J24" s="726">
        <v>89</v>
      </c>
      <c r="K24" s="726">
        <v>7264.3</v>
      </c>
      <c r="L24" s="726">
        <v>73</v>
      </c>
      <c r="M24" s="725">
        <f t="shared" si="1"/>
        <v>9993.2</v>
      </c>
      <c r="N24" s="725">
        <f t="shared" si="2"/>
        <v>162</v>
      </c>
      <c r="O24" s="716">
        <f>N24*3-3+4*3+7*3</f>
        <v>516</v>
      </c>
      <c r="P24" s="716">
        <f>N24*3+4*3+7*3+6*3</f>
        <v>537</v>
      </c>
      <c r="Q24" s="718"/>
      <c r="R24" s="718">
        <v>6</v>
      </c>
      <c r="S24" s="718"/>
      <c r="T24" s="718">
        <f t="shared" si="3"/>
        <v>6</v>
      </c>
      <c r="U24" s="718">
        <v>1750</v>
      </c>
      <c r="V24" s="718">
        <v>20</v>
      </c>
      <c r="W24" s="726">
        <v>2428</v>
      </c>
      <c r="X24" s="726">
        <v>164</v>
      </c>
      <c r="Y24" s="726">
        <v>71</v>
      </c>
      <c r="Z24" s="726">
        <v>4</v>
      </c>
      <c r="AA24" s="726">
        <v>88</v>
      </c>
      <c r="AB24" s="718"/>
      <c r="AC24" s="732">
        <v>1979.8133</v>
      </c>
      <c r="AD24" s="726">
        <v>9.38</v>
      </c>
      <c r="AE24" s="731" t="s">
        <v>367</v>
      </c>
      <c r="AF24" s="735"/>
      <c r="AG24" s="735"/>
      <c r="AH24" s="735"/>
      <c r="AI24" s="735"/>
      <c r="AJ24" s="735"/>
      <c r="AK24" s="735"/>
      <c r="AL24" s="735"/>
      <c r="AM24" s="735"/>
    </row>
    <row r="25" spans="1:39" ht="17.25" customHeight="1">
      <c r="A25" s="718">
        <v>18</v>
      </c>
      <c r="B25" s="719" t="s">
        <v>368</v>
      </c>
      <c r="C25" s="718" t="s">
        <v>150</v>
      </c>
      <c r="D25" s="718"/>
      <c r="E25" s="718"/>
      <c r="F25" s="718">
        <v>74.931</v>
      </c>
      <c r="G25" s="718">
        <v>0.93</v>
      </c>
      <c r="H25" s="718">
        <f t="shared" si="0"/>
        <v>75.861</v>
      </c>
      <c r="I25" s="726">
        <v>2161.3</v>
      </c>
      <c r="J25" s="726">
        <v>44</v>
      </c>
      <c r="K25" s="726">
        <v>1395</v>
      </c>
      <c r="L25" s="726">
        <v>17</v>
      </c>
      <c r="M25" s="725">
        <f t="shared" si="1"/>
        <v>3556.3</v>
      </c>
      <c r="N25" s="725">
        <f t="shared" si="2"/>
        <v>61</v>
      </c>
      <c r="O25" s="716">
        <f>N25*3-1+3</f>
        <v>185</v>
      </c>
      <c r="P25" s="716">
        <f>N25*3-1+3</f>
        <v>185</v>
      </c>
      <c r="Q25" s="718"/>
      <c r="R25" s="718">
        <v>3</v>
      </c>
      <c r="S25" s="718"/>
      <c r="T25" s="718">
        <f t="shared" si="3"/>
        <v>3</v>
      </c>
      <c r="U25" s="718"/>
      <c r="V25" s="718"/>
      <c r="W25" s="726">
        <v>1253</v>
      </c>
      <c r="X25" s="726">
        <v>25</v>
      </c>
      <c r="Y25" s="726">
        <v>3</v>
      </c>
      <c r="Z25" s="726">
        <v>2</v>
      </c>
      <c r="AA25" s="726">
        <v>18</v>
      </c>
      <c r="AB25" s="718"/>
      <c r="AC25" s="732">
        <v>402.521</v>
      </c>
      <c r="AD25" s="726">
        <v>5.87</v>
      </c>
      <c r="AE25" s="731" t="s">
        <v>369</v>
      </c>
      <c r="AF25" s="735"/>
      <c r="AG25" s="735"/>
      <c r="AH25" s="735"/>
      <c r="AI25" s="735"/>
      <c r="AJ25" s="735"/>
      <c r="AK25" s="735"/>
      <c r="AL25" s="735"/>
      <c r="AM25" s="735"/>
    </row>
    <row r="26" spans="1:31" ht="17.25" customHeight="1">
      <c r="A26" s="716">
        <v>19</v>
      </c>
      <c r="B26" s="719" t="s">
        <v>370</v>
      </c>
      <c r="C26" s="718"/>
      <c r="D26" s="718"/>
      <c r="E26" s="718" t="s">
        <v>150</v>
      </c>
      <c r="F26" s="718"/>
      <c r="G26" s="718">
        <v>73.489</v>
      </c>
      <c r="H26" s="718">
        <f t="shared" si="0"/>
        <v>73.489</v>
      </c>
      <c r="I26" s="726"/>
      <c r="J26" s="726"/>
      <c r="K26" s="727">
        <v>7276</v>
      </c>
      <c r="L26" s="727">
        <v>105</v>
      </c>
      <c r="M26" s="725">
        <f t="shared" si="1"/>
        <v>7276</v>
      </c>
      <c r="N26" s="725">
        <f t="shared" si="2"/>
        <v>105</v>
      </c>
      <c r="O26" s="716">
        <f aca="true" t="shared" si="5" ref="O26:O44">N26*3</f>
        <v>315</v>
      </c>
      <c r="P26" s="716">
        <f aca="true" t="shared" si="6" ref="P26:P44">L26*3</f>
        <v>315</v>
      </c>
      <c r="Q26" s="718"/>
      <c r="R26" s="718">
        <v>2</v>
      </c>
      <c r="S26" s="718"/>
      <c r="T26" s="718">
        <f t="shared" si="3"/>
        <v>2</v>
      </c>
      <c r="U26" s="718">
        <v>1300</v>
      </c>
      <c r="V26" s="718">
        <v>3</v>
      </c>
      <c r="W26" s="726"/>
      <c r="X26" s="726"/>
      <c r="Y26" s="726"/>
      <c r="Z26" s="726"/>
      <c r="AA26" s="726"/>
      <c r="AB26" s="718"/>
      <c r="AC26" s="738">
        <v>1782.4</v>
      </c>
      <c r="AD26" s="726"/>
      <c r="AE26" s="739"/>
    </row>
    <row r="27" spans="1:31" ht="17.25" customHeight="1">
      <c r="A27" s="718">
        <v>20</v>
      </c>
      <c r="B27" s="719" t="s">
        <v>371</v>
      </c>
      <c r="C27" s="718"/>
      <c r="D27" s="718"/>
      <c r="E27" s="718" t="s">
        <v>150</v>
      </c>
      <c r="F27" s="718"/>
      <c r="G27" s="718">
        <v>169.05</v>
      </c>
      <c r="H27" s="718">
        <f t="shared" si="0"/>
        <v>169.05</v>
      </c>
      <c r="I27" s="726"/>
      <c r="J27" s="726"/>
      <c r="K27" s="726">
        <v>13290</v>
      </c>
      <c r="L27" s="726">
        <v>198</v>
      </c>
      <c r="M27" s="725">
        <f t="shared" si="1"/>
        <v>13290</v>
      </c>
      <c r="N27" s="725">
        <f t="shared" si="2"/>
        <v>198</v>
      </c>
      <c r="O27" s="716">
        <f t="shared" si="5"/>
        <v>594</v>
      </c>
      <c r="P27" s="716">
        <f t="shared" si="6"/>
        <v>594</v>
      </c>
      <c r="Q27" s="718"/>
      <c r="R27" s="718">
        <v>14</v>
      </c>
      <c r="S27" s="718"/>
      <c r="T27" s="718">
        <f t="shared" si="3"/>
        <v>14</v>
      </c>
      <c r="U27" s="718">
        <v>1800</v>
      </c>
      <c r="V27" s="718">
        <v>6</v>
      </c>
      <c r="W27" s="718"/>
      <c r="X27" s="718"/>
      <c r="Y27" s="718"/>
      <c r="Z27" s="718"/>
      <c r="AA27" s="718"/>
      <c r="AB27" s="718"/>
      <c r="AC27" s="738">
        <v>2255.2037</v>
      </c>
      <c r="AD27" s="726"/>
      <c r="AE27" s="739"/>
    </row>
    <row r="28" spans="1:31" ht="17.25" customHeight="1">
      <c r="A28" s="716">
        <v>21</v>
      </c>
      <c r="B28" s="719" t="s">
        <v>372</v>
      </c>
      <c r="C28" s="718"/>
      <c r="D28" s="718"/>
      <c r="E28" s="716" t="s">
        <v>150</v>
      </c>
      <c r="F28" s="716"/>
      <c r="G28" s="716">
        <v>166.47</v>
      </c>
      <c r="H28" s="716">
        <f t="shared" si="0"/>
        <v>166.47</v>
      </c>
      <c r="I28" s="728"/>
      <c r="J28" s="728"/>
      <c r="K28" s="728">
        <v>6575</v>
      </c>
      <c r="L28" s="728">
        <v>170</v>
      </c>
      <c r="M28" s="725">
        <f t="shared" si="1"/>
        <v>6575</v>
      </c>
      <c r="N28" s="725">
        <f t="shared" si="2"/>
        <v>170</v>
      </c>
      <c r="O28" s="716">
        <f t="shared" si="5"/>
        <v>510</v>
      </c>
      <c r="P28" s="716">
        <f t="shared" si="6"/>
        <v>510</v>
      </c>
      <c r="Q28" s="716"/>
      <c r="R28" s="716">
        <v>3</v>
      </c>
      <c r="S28" s="716"/>
      <c r="T28" s="718">
        <f t="shared" si="3"/>
        <v>3</v>
      </c>
      <c r="U28" s="716">
        <v>2400</v>
      </c>
      <c r="V28" s="716">
        <v>6</v>
      </c>
      <c r="W28" s="717"/>
      <c r="X28" s="718"/>
      <c r="Y28" s="718"/>
      <c r="Z28" s="717"/>
      <c r="AA28" s="717"/>
      <c r="AB28" s="717"/>
      <c r="AC28" s="738">
        <v>2400</v>
      </c>
      <c r="AD28" s="728"/>
      <c r="AE28" s="739"/>
    </row>
    <row r="29" spans="1:33" ht="17.25" customHeight="1">
      <c r="A29" s="718">
        <v>22</v>
      </c>
      <c r="B29" s="719" t="s">
        <v>373</v>
      </c>
      <c r="C29" s="718"/>
      <c r="D29" s="718"/>
      <c r="E29" s="718" t="s">
        <v>150</v>
      </c>
      <c r="F29" s="718"/>
      <c r="G29" s="718">
        <v>127.71</v>
      </c>
      <c r="H29" s="716">
        <f t="shared" si="0"/>
        <v>127.71</v>
      </c>
      <c r="I29" s="727"/>
      <c r="J29" s="727"/>
      <c r="K29" s="727">
        <v>11155</v>
      </c>
      <c r="L29" s="727">
        <v>230</v>
      </c>
      <c r="M29" s="725">
        <f t="shared" si="1"/>
        <v>11155</v>
      </c>
      <c r="N29" s="725">
        <f t="shared" si="2"/>
        <v>230</v>
      </c>
      <c r="O29" s="716">
        <f t="shared" si="5"/>
        <v>690</v>
      </c>
      <c r="P29" s="716">
        <f t="shared" si="6"/>
        <v>690</v>
      </c>
      <c r="Q29" s="718"/>
      <c r="R29" s="718">
        <v>16</v>
      </c>
      <c r="S29" s="718"/>
      <c r="T29" s="718">
        <f t="shared" si="3"/>
        <v>16</v>
      </c>
      <c r="U29" s="718">
        <v>1500</v>
      </c>
      <c r="V29" s="718">
        <v>6</v>
      </c>
      <c r="W29" s="719"/>
      <c r="X29" s="718"/>
      <c r="Y29" s="718"/>
      <c r="Z29" s="719"/>
      <c r="AA29" s="719"/>
      <c r="AB29" s="719"/>
      <c r="AC29" s="740">
        <v>2898.4</v>
      </c>
      <c r="AD29" s="727"/>
      <c r="AE29" s="741"/>
      <c r="AG29" s="340"/>
    </row>
    <row r="30" spans="1:31" ht="17.25" customHeight="1">
      <c r="A30" s="716">
        <v>23</v>
      </c>
      <c r="B30" s="720" t="s">
        <v>374</v>
      </c>
      <c r="C30" s="718"/>
      <c r="D30" s="718"/>
      <c r="E30" s="718" t="s">
        <v>150</v>
      </c>
      <c r="F30" s="718"/>
      <c r="G30" s="718">
        <v>64.27</v>
      </c>
      <c r="H30" s="716">
        <f t="shared" si="0"/>
        <v>64.27</v>
      </c>
      <c r="I30" s="727"/>
      <c r="J30" s="727"/>
      <c r="K30" s="727">
        <v>3375</v>
      </c>
      <c r="L30" s="727">
        <v>77</v>
      </c>
      <c r="M30" s="725">
        <f t="shared" si="1"/>
        <v>3375</v>
      </c>
      <c r="N30" s="725">
        <f t="shared" si="2"/>
        <v>77</v>
      </c>
      <c r="O30" s="716">
        <f t="shared" si="5"/>
        <v>231</v>
      </c>
      <c r="P30" s="716">
        <f t="shared" si="6"/>
        <v>231</v>
      </c>
      <c r="Q30" s="718"/>
      <c r="R30" s="718">
        <v>2</v>
      </c>
      <c r="S30" s="718"/>
      <c r="T30" s="716">
        <f t="shared" si="3"/>
        <v>2</v>
      </c>
      <c r="U30" s="718">
        <v>1000</v>
      </c>
      <c r="V30" s="718">
        <v>4</v>
      </c>
      <c r="W30" s="719"/>
      <c r="X30" s="718"/>
      <c r="Y30" s="718"/>
      <c r="Z30" s="719"/>
      <c r="AA30" s="719"/>
      <c r="AB30" s="719"/>
      <c r="AC30" s="738">
        <v>722.69</v>
      </c>
      <c r="AD30" s="727"/>
      <c r="AE30" s="741"/>
    </row>
    <row r="31" spans="1:31" ht="17.25" customHeight="1">
      <c r="A31" s="718">
        <v>24</v>
      </c>
      <c r="B31" s="720" t="s">
        <v>375</v>
      </c>
      <c r="C31" s="718"/>
      <c r="D31" s="718"/>
      <c r="E31" s="718" t="s">
        <v>150</v>
      </c>
      <c r="F31" s="718">
        <v>7.855</v>
      </c>
      <c r="G31" s="718">
        <f>88.068+23+15</f>
        <v>126.068</v>
      </c>
      <c r="H31" s="716">
        <f t="shared" si="0"/>
        <v>133.923</v>
      </c>
      <c r="I31" s="727"/>
      <c r="J31" s="727"/>
      <c r="K31" s="727">
        <v>10169</v>
      </c>
      <c r="L31" s="727">
        <v>201</v>
      </c>
      <c r="M31" s="725">
        <f t="shared" si="1"/>
        <v>10169</v>
      </c>
      <c r="N31" s="725">
        <f t="shared" si="2"/>
        <v>201</v>
      </c>
      <c r="O31" s="716">
        <f t="shared" si="5"/>
        <v>603</v>
      </c>
      <c r="P31" s="716">
        <f t="shared" si="6"/>
        <v>603</v>
      </c>
      <c r="Q31" s="718"/>
      <c r="R31" s="718">
        <v>4</v>
      </c>
      <c r="S31" s="718"/>
      <c r="T31" s="716">
        <f t="shared" si="3"/>
        <v>4</v>
      </c>
      <c r="U31" s="718">
        <v>1500</v>
      </c>
      <c r="V31" s="718">
        <v>5</v>
      </c>
      <c r="W31" s="719"/>
      <c r="X31" s="718"/>
      <c r="Y31" s="718"/>
      <c r="Z31" s="719"/>
      <c r="AA31" s="719"/>
      <c r="AB31" s="719"/>
      <c r="AC31" s="738">
        <v>1836</v>
      </c>
      <c r="AD31" s="727"/>
      <c r="AE31" s="741"/>
    </row>
    <row r="32" spans="1:31" ht="17.25" customHeight="1">
      <c r="A32" s="716">
        <v>25</v>
      </c>
      <c r="B32" s="720" t="s">
        <v>376</v>
      </c>
      <c r="C32" s="718"/>
      <c r="D32" s="718"/>
      <c r="E32" s="718" t="s">
        <v>150</v>
      </c>
      <c r="F32" s="718">
        <v>6.179</v>
      </c>
      <c r="G32" s="718">
        <f>71.421+15.023+15</f>
        <v>101.444</v>
      </c>
      <c r="H32" s="716">
        <f t="shared" si="0"/>
        <v>107.623</v>
      </c>
      <c r="I32" s="727"/>
      <c r="J32" s="727"/>
      <c r="K32" s="727">
        <v>5451</v>
      </c>
      <c r="L32" s="727">
        <v>230</v>
      </c>
      <c r="M32" s="725">
        <f t="shared" si="1"/>
        <v>5451</v>
      </c>
      <c r="N32" s="725">
        <f t="shared" si="2"/>
        <v>230</v>
      </c>
      <c r="O32" s="716">
        <f t="shared" si="5"/>
        <v>690</v>
      </c>
      <c r="P32" s="716">
        <f t="shared" si="6"/>
        <v>690</v>
      </c>
      <c r="Q32" s="718"/>
      <c r="R32" s="718">
        <v>1</v>
      </c>
      <c r="S32" s="718"/>
      <c r="T32" s="716">
        <f t="shared" si="3"/>
        <v>1</v>
      </c>
      <c r="U32" s="718">
        <v>1300</v>
      </c>
      <c r="V32" s="718">
        <v>4</v>
      </c>
      <c r="W32" s="719"/>
      <c r="X32" s="718"/>
      <c r="Y32" s="718"/>
      <c r="Z32" s="719"/>
      <c r="AA32" s="719"/>
      <c r="AB32" s="719"/>
      <c r="AC32" s="738">
        <v>1878.6</v>
      </c>
      <c r="AD32" s="727"/>
      <c r="AE32" s="741"/>
    </row>
    <row r="33" spans="1:31" ht="17.25" customHeight="1">
      <c r="A33" s="718">
        <v>26</v>
      </c>
      <c r="B33" s="720" t="s">
        <v>377</v>
      </c>
      <c r="C33" s="718"/>
      <c r="D33" s="718"/>
      <c r="E33" s="718" t="s">
        <v>150</v>
      </c>
      <c r="F33" s="718"/>
      <c r="G33" s="718">
        <v>232.486</v>
      </c>
      <c r="H33" s="716">
        <f t="shared" si="0"/>
        <v>232.486</v>
      </c>
      <c r="I33" s="727"/>
      <c r="J33" s="727"/>
      <c r="K33" s="727">
        <v>4472</v>
      </c>
      <c r="L33" s="727">
        <v>131</v>
      </c>
      <c r="M33" s="725">
        <f t="shared" si="1"/>
        <v>4472</v>
      </c>
      <c r="N33" s="725">
        <f t="shared" si="2"/>
        <v>131</v>
      </c>
      <c r="O33" s="716">
        <f t="shared" si="5"/>
        <v>393</v>
      </c>
      <c r="P33" s="716">
        <f t="shared" si="6"/>
        <v>393</v>
      </c>
      <c r="Q33" s="718"/>
      <c r="R33" s="718">
        <v>4</v>
      </c>
      <c r="S33" s="718"/>
      <c r="T33" s="716">
        <f t="shared" si="3"/>
        <v>4</v>
      </c>
      <c r="U33" s="718">
        <v>1800</v>
      </c>
      <c r="V33" s="718">
        <v>6</v>
      </c>
      <c r="W33" s="719"/>
      <c r="X33" s="718"/>
      <c r="Y33" s="718"/>
      <c r="Z33" s="719"/>
      <c r="AA33" s="719"/>
      <c r="AB33" s="719"/>
      <c r="AC33" s="738">
        <v>2558.92</v>
      </c>
      <c r="AD33" s="727"/>
      <c r="AE33" s="741"/>
    </row>
    <row r="34" spans="1:31" ht="17.25" customHeight="1">
      <c r="A34" s="716">
        <v>27</v>
      </c>
      <c r="B34" s="720" t="s">
        <v>378</v>
      </c>
      <c r="C34" s="718"/>
      <c r="D34" s="718"/>
      <c r="E34" s="718" t="s">
        <v>150</v>
      </c>
      <c r="F34" s="718"/>
      <c r="G34" s="718">
        <v>171.518</v>
      </c>
      <c r="H34" s="716">
        <f t="shared" si="0"/>
        <v>171.518</v>
      </c>
      <c r="I34" s="727"/>
      <c r="J34" s="727"/>
      <c r="K34" s="727">
        <v>9671</v>
      </c>
      <c r="L34" s="727">
        <v>310</v>
      </c>
      <c r="M34" s="725">
        <f t="shared" si="1"/>
        <v>9671</v>
      </c>
      <c r="N34" s="725">
        <f t="shared" si="2"/>
        <v>310</v>
      </c>
      <c r="O34" s="716">
        <f t="shared" si="5"/>
        <v>930</v>
      </c>
      <c r="P34" s="716">
        <f t="shared" si="6"/>
        <v>930</v>
      </c>
      <c r="Q34" s="718"/>
      <c r="R34" s="718">
        <v>4</v>
      </c>
      <c r="S34" s="718"/>
      <c r="T34" s="716">
        <f t="shared" si="3"/>
        <v>4</v>
      </c>
      <c r="U34" s="718">
        <v>1400</v>
      </c>
      <c r="V34" s="718">
        <v>4</v>
      </c>
      <c r="W34" s="719"/>
      <c r="X34" s="718"/>
      <c r="Y34" s="718"/>
      <c r="Z34" s="719"/>
      <c r="AA34" s="719"/>
      <c r="AB34" s="719"/>
      <c r="AC34" s="738">
        <v>3069.6</v>
      </c>
      <c r="AD34" s="727"/>
      <c r="AE34" s="741"/>
    </row>
    <row r="35" spans="1:31" ht="17.25" customHeight="1">
      <c r="A35" s="718">
        <v>28</v>
      </c>
      <c r="B35" s="720" t="s">
        <v>379</v>
      </c>
      <c r="C35" s="718"/>
      <c r="D35" s="718"/>
      <c r="E35" s="718" t="s">
        <v>150</v>
      </c>
      <c r="F35" s="718"/>
      <c r="G35" s="718">
        <v>46.462</v>
      </c>
      <c r="H35" s="716">
        <f t="shared" si="0"/>
        <v>46.462</v>
      </c>
      <c r="I35" s="727"/>
      <c r="J35" s="727"/>
      <c r="K35" s="727">
        <v>7122</v>
      </c>
      <c r="L35" s="727">
        <v>105</v>
      </c>
      <c r="M35" s="725">
        <f t="shared" si="1"/>
        <v>7122</v>
      </c>
      <c r="N35" s="725">
        <f t="shared" si="2"/>
        <v>105</v>
      </c>
      <c r="O35" s="716">
        <f t="shared" si="5"/>
        <v>315</v>
      </c>
      <c r="P35" s="716">
        <f t="shared" si="6"/>
        <v>315</v>
      </c>
      <c r="Q35" s="718"/>
      <c r="R35" s="718">
        <v>5</v>
      </c>
      <c r="S35" s="718"/>
      <c r="T35" s="716">
        <f t="shared" si="3"/>
        <v>5</v>
      </c>
      <c r="U35" s="718">
        <v>1000</v>
      </c>
      <c r="V35" s="718">
        <v>3</v>
      </c>
      <c r="W35" s="719"/>
      <c r="X35" s="718"/>
      <c r="Y35" s="718"/>
      <c r="Z35" s="719"/>
      <c r="AA35" s="719"/>
      <c r="AB35" s="719"/>
      <c r="AC35" s="738">
        <v>1733.746</v>
      </c>
      <c r="AD35" s="727"/>
      <c r="AE35" s="741"/>
    </row>
    <row r="36" spans="1:31" ht="17.25" customHeight="1">
      <c r="A36" s="716">
        <v>29</v>
      </c>
      <c r="B36" s="720" t="s">
        <v>380</v>
      </c>
      <c r="C36" s="718"/>
      <c r="D36" s="718"/>
      <c r="E36" s="718" t="s">
        <v>150</v>
      </c>
      <c r="F36" s="718"/>
      <c r="G36" s="718">
        <v>80.83</v>
      </c>
      <c r="H36" s="716">
        <f t="shared" si="0"/>
        <v>80.83</v>
      </c>
      <c r="I36" s="727"/>
      <c r="J36" s="727"/>
      <c r="K36" s="729">
        <v>6145</v>
      </c>
      <c r="L36" s="729">
        <v>101</v>
      </c>
      <c r="M36" s="725">
        <f t="shared" si="1"/>
        <v>6145</v>
      </c>
      <c r="N36" s="725">
        <f t="shared" si="2"/>
        <v>101</v>
      </c>
      <c r="O36" s="716">
        <f t="shared" si="5"/>
        <v>303</v>
      </c>
      <c r="P36" s="716">
        <f t="shared" si="6"/>
        <v>303</v>
      </c>
      <c r="Q36" s="718"/>
      <c r="R36" s="718">
        <v>5</v>
      </c>
      <c r="S36" s="718"/>
      <c r="T36" s="716">
        <f t="shared" si="3"/>
        <v>5</v>
      </c>
      <c r="U36" s="718">
        <v>1200</v>
      </c>
      <c r="V36" s="718">
        <v>3</v>
      </c>
      <c r="W36" s="719"/>
      <c r="X36" s="718"/>
      <c r="Y36" s="718"/>
      <c r="Z36" s="719"/>
      <c r="AA36" s="719"/>
      <c r="AB36" s="719"/>
      <c r="AC36" s="740">
        <v>716</v>
      </c>
      <c r="AD36" s="727"/>
      <c r="AE36" s="741"/>
    </row>
    <row r="37" spans="1:31" ht="17.25" customHeight="1">
      <c r="A37" s="718">
        <v>30</v>
      </c>
      <c r="B37" s="720" t="s">
        <v>381</v>
      </c>
      <c r="C37" s="718"/>
      <c r="D37" s="718"/>
      <c r="E37" s="718" t="s">
        <v>150</v>
      </c>
      <c r="F37" s="718"/>
      <c r="G37" s="718">
        <v>13.295</v>
      </c>
      <c r="H37" s="716">
        <f t="shared" si="0"/>
        <v>13.295</v>
      </c>
      <c r="I37" s="727"/>
      <c r="J37" s="727"/>
      <c r="K37" s="729">
        <v>500</v>
      </c>
      <c r="L37" s="729">
        <v>1</v>
      </c>
      <c r="M37" s="725">
        <f t="shared" si="1"/>
        <v>500</v>
      </c>
      <c r="N37" s="725">
        <f t="shared" si="2"/>
        <v>1</v>
      </c>
      <c r="O37" s="716">
        <f t="shared" si="5"/>
        <v>3</v>
      </c>
      <c r="P37" s="716">
        <f t="shared" si="6"/>
        <v>3</v>
      </c>
      <c r="Q37" s="718"/>
      <c r="R37" s="718">
        <v>2</v>
      </c>
      <c r="S37" s="718"/>
      <c r="T37" s="716">
        <f t="shared" si="3"/>
        <v>2</v>
      </c>
      <c r="U37" s="718"/>
      <c r="V37" s="718"/>
      <c r="W37" s="719"/>
      <c r="X37" s="718"/>
      <c r="Y37" s="718"/>
      <c r="Z37" s="719"/>
      <c r="AA37" s="719"/>
      <c r="AB37" s="719"/>
      <c r="AC37" s="740">
        <v>114.72</v>
      </c>
      <c r="AD37" s="727"/>
      <c r="AE37" s="447"/>
    </row>
    <row r="38" spans="1:31" ht="17.25" customHeight="1">
      <c r="A38" s="716">
        <v>31</v>
      </c>
      <c r="B38" s="720" t="s">
        <v>382</v>
      </c>
      <c r="C38" s="718"/>
      <c r="D38" s="718"/>
      <c r="E38" s="718" t="s">
        <v>150</v>
      </c>
      <c r="F38" s="718"/>
      <c r="G38" s="718">
        <v>178.164</v>
      </c>
      <c r="H38" s="716">
        <f t="shared" si="0"/>
        <v>178.164</v>
      </c>
      <c r="I38" s="727"/>
      <c r="J38" s="727"/>
      <c r="K38" s="729">
        <v>9715</v>
      </c>
      <c r="L38" s="729">
        <v>152</v>
      </c>
      <c r="M38" s="725">
        <f t="shared" si="1"/>
        <v>9715</v>
      </c>
      <c r="N38" s="725">
        <f t="shared" si="2"/>
        <v>152</v>
      </c>
      <c r="O38" s="716">
        <f t="shared" si="5"/>
        <v>456</v>
      </c>
      <c r="P38" s="716">
        <f t="shared" si="6"/>
        <v>456</v>
      </c>
      <c r="Q38" s="718"/>
      <c r="R38" s="718">
        <v>9</v>
      </c>
      <c r="S38" s="718"/>
      <c r="T38" s="716">
        <f t="shared" si="3"/>
        <v>9</v>
      </c>
      <c r="U38" s="718"/>
      <c r="V38" s="718"/>
      <c r="W38" s="719"/>
      <c r="X38" s="718"/>
      <c r="Y38" s="718"/>
      <c r="Z38" s="719"/>
      <c r="AA38" s="719"/>
      <c r="AB38" s="719"/>
      <c r="AC38" s="740">
        <v>2308.5804</v>
      </c>
      <c r="AD38" s="727"/>
      <c r="AE38" s="447"/>
    </row>
    <row r="39" spans="1:31" ht="17.25" customHeight="1">
      <c r="A39" s="718">
        <v>32</v>
      </c>
      <c r="B39" s="720" t="s">
        <v>383</v>
      </c>
      <c r="C39" s="718"/>
      <c r="D39" s="718"/>
      <c r="E39" s="718" t="s">
        <v>150</v>
      </c>
      <c r="F39" s="718"/>
      <c r="G39" s="718">
        <v>11.515</v>
      </c>
      <c r="H39" s="716">
        <f t="shared" si="0"/>
        <v>11.515</v>
      </c>
      <c r="I39" s="727"/>
      <c r="J39" s="727"/>
      <c r="K39" s="729">
        <v>1800</v>
      </c>
      <c r="L39" s="729">
        <v>3</v>
      </c>
      <c r="M39" s="725">
        <f t="shared" si="1"/>
        <v>1800</v>
      </c>
      <c r="N39" s="725">
        <f t="shared" si="2"/>
        <v>3</v>
      </c>
      <c r="O39" s="716">
        <f t="shared" si="5"/>
        <v>9</v>
      </c>
      <c r="P39" s="716">
        <f t="shared" si="6"/>
        <v>9</v>
      </c>
      <c r="Q39" s="718"/>
      <c r="R39" s="718">
        <v>2</v>
      </c>
      <c r="S39" s="718"/>
      <c r="T39" s="716">
        <f t="shared" si="3"/>
        <v>2</v>
      </c>
      <c r="U39" s="718"/>
      <c r="V39" s="718"/>
      <c r="W39" s="719"/>
      <c r="X39" s="718"/>
      <c r="Y39" s="718"/>
      <c r="Z39" s="719"/>
      <c r="AA39" s="719"/>
      <c r="AB39" s="719"/>
      <c r="AC39" s="740">
        <v>562</v>
      </c>
      <c r="AD39" s="727"/>
      <c r="AE39" s="447"/>
    </row>
    <row r="40" spans="1:31" ht="17.25" customHeight="1">
      <c r="A40" s="716">
        <v>33</v>
      </c>
      <c r="B40" s="720" t="s">
        <v>384</v>
      </c>
      <c r="C40" s="718"/>
      <c r="D40" s="718"/>
      <c r="E40" s="718" t="s">
        <v>150</v>
      </c>
      <c r="F40" s="718"/>
      <c r="G40" s="718">
        <v>2.36</v>
      </c>
      <c r="H40" s="716">
        <f t="shared" si="0"/>
        <v>2.36</v>
      </c>
      <c r="I40" s="727"/>
      <c r="J40" s="727"/>
      <c r="K40" s="729">
        <v>1800</v>
      </c>
      <c r="L40" s="729">
        <v>3</v>
      </c>
      <c r="M40" s="725">
        <f t="shared" si="1"/>
        <v>1800</v>
      </c>
      <c r="N40" s="725">
        <f t="shared" si="2"/>
        <v>3</v>
      </c>
      <c r="O40" s="716">
        <f t="shared" si="5"/>
        <v>9</v>
      </c>
      <c r="P40" s="716">
        <f t="shared" si="6"/>
        <v>9</v>
      </c>
      <c r="Q40" s="718"/>
      <c r="R40" s="718">
        <v>1</v>
      </c>
      <c r="S40" s="718"/>
      <c r="T40" s="716">
        <f t="shared" si="3"/>
        <v>1</v>
      </c>
      <c r="U40" s="718"/>
      <c r="V40" s="718"/>
      <c r="W40" s="719"/>
      <c r="X40" s="718"/>
      <c r="Y40" s="718"/>
      <c r="Z40" s="719"/>
      <c r="AA40" s="719"/>
      <c r="AB40" s="719"/>
      <c r="AC40" s="740">
        <v>70</v>
      </c>
      <c r="AD40" s="727"/>
      <c r="AE40" s="447"/>
    </row>
    <row r="41" spans="1:31" ht="17.25" customHeight="1">
      <c r="A41" s="718">
        <v>34</v>
      </c>
      <c r="B41" s="720" t="s">
        <v>385</v>
      </c>
      <c r="C41" s="718"/>
      <c r="D41" s="718"/>
      <c r="E41" s="718" t="s">
        <v>150</v>
      </c>
      <c r="F41" s="718"/>
      <c r="G41" s="718">
        <v>57.749</v>
      </c>
      <c r="H41" s="716">
        <f t="shared" si="0"/>
        <v>57.749</v>
      </c>
      <c r="I41" s="727"/>
      <c r="J41" s="727"/>
      <c r="K41" s="729">
        <v>2340</v>
      </c>
      <c r="L41" s="729">
        <v>30</v>
      </c>
      <c r="M41" s="725">
        <f t="shared" si="1"/>
        <v>2340</v>
      </c>
      <c r="N41" s="725">
        <f t="shared" si="2"/>
        <v>30</v>
      </c>
      <c r="O41" s="716">
        <f t="shared" si="5"/>
        <v>90</v>
      </c>
      <c r="P41" s="716">
        <f t="shared" si="6"/>
        <v>90</v>
      </c>
      <c r="Q41" s="718"/>
      <c r="R41" s="718"/>
      <c r="S41" s="718"/>
      <c r="T41" s="716">
        <f t="shared" si="3"/>
        <v>0</v>
      </c>
      <c r="U41" s="718"/>
      <c r="V41" s="718"/>
      <c r="W41" s="719"/>
      <c r="X41" s="718"/>
      <c r="Y41" s="718"/>
      <c r="Z41" s="719"/>
      <c r="AA41" s="719"/>
      <c r="AB41" s="719"/>
      <c r="AC41" s="740">
        <v>182.4</v>
      </c>
      <c r="AD41" s="727"/>
      <c r="AE41" s="447"/>
    </row>
    <row r="42" spans="1:31" ht="17.25" customHeight="1">
      <c r="A42" s="716">
        <v>35</v>
      </c>
      <c r="B42" s="720" t="s">
        <v>386</v>
      </c>
      <c r="C42" s="718"/>
      <c r="D42" s="718"/>
      <c r="E42" s="718" t="s">
        <v>150</v>
      </c>
      <c r="F42" s="718">
        <v>9.04</v>
      </c>
      <c r="G42" s="718"/>
      <c r="H42" s="716">
        <f t="shared" si="0"/>
        <v>9.04</v>
      </c>
      <c r="I42" s="727"/>
      <c r="J42" s="727"/>
      <c r="K42" s="729"/>
      <c r="L42" s="729"/>
      <c r="M42" s="725">
        <f t="shared" si="1"/>
        <v>0</v>
      </c>
      <c r="N42" s="725">
        <f t="shared" si="2"/>
        <v>0</v>
      </c>
      <c r="O42" s="716">
        <f t="shared" si="5"/>
        <v>0</v>
      </c>
      <c r="P42" s="716">
        <f t="shared" si="6"/>
        <v>0</v>
      </c>
      <c r="Q42" s="718"/>
      <c r="R42" s="718">
        <v>2</v>
      </c>
      <c r="S42" s="718"/>
      <c r="T42" s="716">
        <f t="shared" si="3"/>
        <v>2</v>
      </c>
      <c r="U42" s="718"/>
      <c r="V42" s="718"/>
      <c r="W42" s="719"/>
      <c r="X42" s="718"/>
      <c r="Y42" s="718"/>
      <c r="Z42" s="719"/>
      <c r="AA42" s="719"/>
      <c r="AB42" s="719"/>
      <c r="AC42" s="740"/>
      <c r="AD42" s="727"/>
      <c r="AE42" s="447"/>
    </row>
    <row r="43" spans="1:31" ht="17.25" customHeight="1">
      <c r="A43" s="718">
        <v>36</v>
      </c>
      <c r="B43" s="720" t="s">
        <v>387</v>
      </c>
      <c r="C43" s="718"/>
      <c r="D43" s="718"/>
      <c r="E43" s="718" t="s">
        <v>150</v>
      </c>
      <c r="F43" s="718"/>
      <c r="G43" s="718">
        <v>2.1</v>
      </c>
      <c r="H43" s="716">
        <f t="shared" si="0"/>
        <v>2.1</v>
      </c>
      <c r="I43" s="727"/>
      <c r="J43" s="727"/>
      <c r="K43" s="729">
        <v>575</v>
      </c>
      <c r="L43" s="729">
        <v>9</v>
      </c>
      <c r="M43" s="725">
        <f t="shared" si="1"/>
        <v>575</v>
      </c>
      <c r="N43" s="725">
        <f t="shared" si="2"/>
        <v>9</v>
      </c>
      <c r="O43" s="716">
        <f t="shared" si="5"/>
        <v>27</v>
      </c>
      <c r="P43" s="716">
        <f t="shared" si="6"/>
        <v>27</v>
      </c>
      <c r="Q43" s="718"/>
      <c r="R43" s="718">
        <v>1</v>
      </c>
      <c r="S43" s="718"/>
      <c r="T43" s="716">
        <f t="shared" si="3"/>
        <v>1</v>
      </c>
      <c r="U43" s="718"/>
      <c r="V43" s="718"/>
      <c r="W43" s="719"/>
      <c r="X43" s="718"/>
      <c r="Y43" s="718"/>
      <c r="Z43" s="719"/>
      <c r="AA43" s="719"/>
      <c r="AB43" s="719"/>
      <c r="AC43" s="740">
        <v>126.4</v>
      </c>
      <c r="AD43" s="727"/>
      <c r="AE43" s="447"/>
    </row>
    <row r="44" spans="1:31" ht="17.25" customHeight="1">
      <c r="A44" s="716">
        <v>37</v>
      </c>
      <c r="B44" s="720" t="s">
        <v>388</v>
      </c>
      <c r="C44" s="718"/>
      <c r="D44" s="718"/>
      <c r="E44" s="718" t="s">
        <v>150</v>
      </c>
      <c r="F44" s="718"/>
      <c r="G44" s="718">
        <v>59.85</v>
      </c>
      <c r="H44" s="716">
        <f t="shared" si="0"/>
        <v>59.85</v>
      </c>
      <c r="I44" s="727"/>
      <c r="J44" s="727"/>
      <c r="K44" s="729">
        <v>8753</v>
      </c>
      <c r="L44" s="729">
        <v>106</v>
      </c>
      <c r="M44" s="725">
        <f t="shared" si="1"/>
        <v>8753</v>
      </c>
      <c r="N44" s="725">
        <f t="shared" si="2"/>
        <v>106</v>
      </c>
      <c r="O44" s="716">
        <f t="shared" si="5"/>
        <v>318</v>
      </c>
      <c r="P44" s="716">
        <f t="shared" si="6"/>
        <v>318</v>
      </c>
      <c r="Q44" s="718"/>
      <c r="R44" s="718">
        <v>3</v>
      </c>
      <c r="S44" s="718"/>
      <c r="T44" s="716">
        <f t="shared" si="3"/>
        <v>3</v>
      </c>
      <c r="U44" s="718"/>
      <c r="V44" s="718"/>
      <c r="W44" s="719"/>
      <c r="X44" s="718"/>
      <c r="Y44" s="718"/>
      <c r="Z44" s="719"/>
      <c r="AA44" s="719"/>
      <c r="AB44" s="719"/>
      <c r="AC44" s="740">
        <v>667.8</v>
      </c>
      <c r="AD44" s="727"/>
      <c r="AE44" s="447"/>
    </row>
    <row r="45" spans="1:31" ht="17.25" customHeight="1">
      <c r="A45" s="718">
        <v>38</v>
      </c>
      <c r="B45" s="720" t="s">
        <v>389</v>
      </c>
      <c r="C45" s="718"/>
      <c r="D45" s="718" t="s">
        <v>150</v>
      </c>
      <c r="E45" s="718"/>
      <c r="F45" s="718">
        <v>199.17</v>
      </c>
      <c r="G45" s="718">
        <v>12.85</v>
      </c>
      <c r="H45" s="716">
        <f t="shared" si="0"/>
        <v>212.01999999999998</v>
      </c>
      <c r="I45" s="727">
        <v>2792.6</v>
      </c>
      <c r="J45" s="727">
        <v>95</v>
      </c>
      <c r="K45" s="729">
        <v>2047.6</v>
      </c>
      <c r="L45" s="729">
        <v>55</v>
      </c>
      <c r="M45" s="725">
        <f t="shared" si="1"/>
        <v>4840.2</v>
      </c>
      <c r="N45" s="725">
        <f t="shared" si="2"/>
        <v>150</v>
      </c>
      <c r="O45" s="716">
        <f>N45*3-4+6*3</f>
        <v>464</v>
      </c>
      <c r="P45" s="716">
        <f>N45*3-4+9*3+6*3</f>
        <v>491</v>
      </c>
      <c r="Q45" s="718"/>
      <c r="R45" s="718">
        <v>9</v>
      </c>
      <c r="S45" s="718"/>
      <c r="T45" s="716">
        <f t="shared" si="3"/>
        <v>9</v>
      </c>
      <c r="U45" s="718">
        <v>480</v>
      </c>
      <c r="V45" s="718">
        <v>16</v>
      </c>
      <c r="W45" s="719">
        <v>2659</v>
      </c>
      <c r="X45" s="726">
        <v>117</v>
      </c>
      <c r="Y45" s="726">
        <v>55</v>
      </c>
      <c r="Z45" s="719">
        <v>5</v>
      </c>
      <c r="AA45" s="719">
        <v>42</v>
      </c>
      <c r="AB45" s="719"/>
      <c r="AC45" s="740">
        <v>641.8097</v>
      </c>
      <c r="AD45" s="727">
        <v>2.04</v>
      </c>
      <c r="AE45" s="734" t="s">
        <v>390</v>
      </c>
    </row>
    <row r="46" spans="1:31" ht="17.25" customHeight="1">
      <c r="A46" s="716">
        <v>39</v>
      </c>
      <c r="B46" s="720" t="s">
        <v>391</v>
      </c>
      <c r="C46" s="718"/>
      <c r="E46" s="718" t="s">
        <v>150</v>
      </c>
      <c r="F46" s="718"/>
      <c r="G46" s="718">
        <v>66.91</v>
      </c>
      <c r="H46" s="716">
        <f t="shared" si="0"/>
        <v>66.91</v>
      </c>
      <c r="I46" s="727"/>
      <c r="J46" s="727"/>
      <c r="K46" s="729">
        <v>2965</v>
      </c>
      <c r="L46" s="729">
        <v>64</v>
      </c>
      <c r="M46" s="725">
        <f t="shared" si="1"/>
        <v>2965</v>
      </c>
      <c r="N46" s="725">
        <f t="shared" si="2"/>
        <v>64</v>
      </c>
      <c r="O46" s="716">
        <f>N46*3+2*3</f>
        <v>198</v>
      </c>
      <c r="P46" s="716">
        <f>N46*3+3*3</f>
        <v>201</v>
      </c>
      <c r="Q46" s="718"/>
      <c r="R46" s="718">
        <v>1</v>
      </c>
      <c r="S46" s="718"/>
      <c r="T46" s="716">
        <f t="shared" si="3"/>
        <v>1</v>
      </c>
      <c r="U46" s="718">
        <v>180</v>
      </c>
      <c r="V46" s="718">
        <v>6</v>
      </c>
      <c r="W46" s="719"/>
      <c r="X46" s="718"/>
      <c r="Y46" s="718"/>
      <c r="Z46" s="719"/>
      <c r="AA46" s="719"/>
      <c r="AB46" s="719"/>
      <c r="AC46" s="740">
        <f>1283.3312-334.3551</f>
        <v>948.9761000000001</v>
      </c>
      <c r="AD46" s="727"/>
      <c r="AE46" s="734" t="s">
        <v>392</v>
      </c>
    </row>
    <row r="47" spans="1:31" ht="17.25" customHeight="1">
      <c r="A47" s="718">
        <v>40</v>
      </c>
      <c r="B47" s="720" t="s">
        <v>393</v>
      </c>
      <c r="C47" s="718"/>
      <c r="D47" s="718"/>
      <c r="E47" s="718" t="s">
        <v>150</v>
      </c>
      <c r="F47" s="718"/>
      <c r="G47" s="718">
        <v>77.93</v>
      </c>
      <c r="H47" s="716">
        <f t="shared" si="0"/>
        <v>77.93</v>
      </c>
      <c r="I47" s="727"/>
      <c r="J47" s="727"/>
      <c r="K47" s="729">
        <v>5100</v>
      </c>
      <c r="L47" s="729">
        <v>100</v>
      </c>
      <c r="M47" s="725">
        <f t="shared" si="1"/>
        <v>5100</v>
      </c>
      <c r="N47" s="725">
        <f t="shared" si="2"/>
        <v>100</v>
      </c>
      <c r="O47" s="716">
        <f aca="true" t="shared" si="7" ref="O47:O50">N47*3</f>
        <v>300</v>
      </c>
      <c r="P47" s="716">
        <f aca="true" t="shared" si="8" ref="P47:P49">L47*3</f>
        <v>300</v>
      </c>
      <c r="Q47" s="718"/>
      <c r="R47" s="718">
        <v>1</v>
      </c>
      <c r="S47" s="718"/>
      <c r="T47" s="716">
        <f t="shared" si="3"/>
        <v>1</v>
      </c>
      <c r="U47" s="718"/>
      <c r="V47" s="718"/>
      <c r="W47" s="719"/>
      <c r="X47" s="718"/>
      <c r="Y47" s="718"/>
      <c r="Z47" s="719"/>
      <c r="AA47" s="719"/>
      <c r="AB47" s="719"/>
      <c r="AC47" s="740">
        <v>1039.6</v>
      </c>
      <c r="AD47" s="727"/>
      <c r="AE47" s="447"/>
    </row>
    <row r="48" spans="1:31" ht="14.25">
      <c r="A48" s="716">
        <v>41</v>
      </c>
      <c r="B48" s="720" t="s">
        <v>394</v>
      </c>
      <c r="C48" s="718"/>
      <c r="D48" s="718"/>
      <c r="E48" s="718" t="s">
        <v>150</v>
      </c>
      <c r="F48" s="718"/>
      <c r="G48" s="718">
        <v>44.818</v>
      </c>
      <c r="H48" s="716">
        <f t="shared" si="0"/>
        <v>44.818</v>
      </c>
      <c r="I48" s="727"/>
      <c r="J48" s="727"/>
      <c r="K48" s="729">
        <v>4660</v>
      </c>
      <c r="L48" s="729">
        <v>82</v>
      </c>
      <c r="M48" s="725">
        <f t="shared" si="1"/>
        <v>4660</v>
      </c>
      <c r="N48" s="725">
        <f t="shared" si="2"/>
        <v>82</v>
      </c>
      <c r="O48" s="716">
        <f t="shared" si="7"/>
        <v>246</v>
      </c>
      <c r="P48" s="716">
        <f t="shared" si="8"/>
        <v>246</v>
      </c>
      <c r="Q48" s="718"/>
      <c r="R48" s="718">
        <v>7</v>
      </c>
      <c r="S48" s="718"/>
      <c r="T48" s="716">
        <f t="shared" si="3"/>
        <v>7</v>
      </c>
      <c r="U48" s="718"/>
      <c r="V48" s="718"/>
      <c r="W48" s="719"/>
      <c r="X48" s="718"/>
      <c r="Y48" s="718"/>
      <c r="Z48" s="719"/>
      <c r="AA48" s="719"/>
      <c r="AB48" s="719"/>
      <c r="AC48" s="740">
        <v>978</v>
      </c>
      <c r="AD48" s="727"/>
      <c r="AE48" s="447"/>
    </row>
    <row r="49" spans="1:31" ht="17.25" customHeight="1">
      <c r="A49" s="718">
        <v>42</v>
      </c>
      <c r="B49" s="720" t="s">
        <v>395</v>
      </c>
      <c r="C49" s="718"/>
      <c r="D49" s="718"/>
      <c r="E49" s="718" t="s">
        <v>150</v>
      </c>
      <c r="F49" s="718"/>
      <c r="G49" s="718">
        <v>56.126</v>
      </c>
      <c r="H49" s="716">
        <f t="shared" si="0"/>
        <v>56.126</v>
      </c>
      <c r="I49" s="727"/>
      <c r="J49" s="727"/>
      <c r="K49" s="729">
        <v>3585</v>
      </c>
      <c r="L49" s="729">
        <v>90</v>
      </c>
      <c r="M49" s="725">
        <f t="shared" si="1"/>
        <v>3585</v>
      </c>
      <c r="N49" s="725">
        <f t="shared" si="2"/>
        <v>90</v>
      </c>
      <c r="O49" s="716">
        <f t="shared" si="7"/>
        <v>270</v>
      </c>
      <c r="P49" s="716">
        <f t="shared" si="8"/>
        <v>270</v>
      </c>
      <c r="Q49" s="718"/>
      <c r="R49" s="718">
        <v>1</v>
      </c>
      <c r="S49" s="718"/>
      <c r="T49" s="716">
        <f t="shared" si="3"/>
        <v>1</v>
      </c>
      <c r="U49" s="718"/>
      <c r="V49" s="718"/>
      <c r="W49" s="719"/>
      <c r="X49" s="718"/>
      <c r="Y49" s="718"/>
      <c r="Z49" s="719"/>
      <c r="AA49" s="719"/>
      <c r="AB49" s="719"/>
      <c r="AC49" s="740">
        <v>519.2</v>
      </c>
      <c r="AD49" s="727"/>
      <c r="AE49" s="447"/>
    </row>
    <row r="50" spans="1:30" ht="17.25" customHeight="1">
      <c r="A50" s="716">
        <v>43</v>
      </c>
      <c r="B50" s="548" t="s">
        <v>396</v>
      </c>
      <c r="C50" s="718"/>
      <c r="D50" s="718"/>
      <c r="E50" s="718" t="s">
        <v>150</v>
      </c>
      <c r="F50" s="718"/>
      <c r="G50" s="718">
        <v>37.9</v>
      </c>
      <c r="H50" s="716">
        <f t="shared" si="0"/>
        <v>37.9</v>
      </c>
      <c r="I50" s="726"/>
      <c r="J50" s="726"/>
      <c r="K50" s="726">
        <v>6450</v>
      </c>
      <c r="L50" s="726">
        <v>63</v>
      </c>
      <c r="M50" s="725">
        <f t="shared" si="1"/>
        <v>6450</v>
      </c>
      <c r="N50" s="725">
        <f t="shared" si="2"/>
        <v>63</v>
      </c>
      <c r="O50" s="716">
        <f t="shared" si="7"/>
        <v>189</v>
      </c>
      <c r="P50" s="716"/>
      <c r="Q50" s="718"/>
      <c r="R50" s="548">
        <v>5</v>
      </c>
      <c r="S50" s="718"/>
      <c r="T50" s="716">
        <f t="shared" si="3"/>
        <v>5</v>
      </c>
      <c r="U50" s="718"/>
      <c r="V50" s="718"/>
      <c r="W50" s="718"/>
      <c r="X50" s="718"/>
      <c r="Y50" s="718"/>
      <c r="Z50" s="718"/>
      <c r="AA50" s="718"/>
      <c r="AB50" s="718"/>
      <c r="AC50" s="738">
        <v>583.2</v>
      </c>
      <c r="AD50" s="726"/>
    </row>
    <row r="51" spans="1:30" ht="17.25" customHeight="1">
      <c r="A51" s="718">
        <v>44</v>
      </c>
      <c r="B51" s="718" t="s">
        <v>397</v>
      </c>
      <c r="C51" s="718"/>
      <c r="D51" s="718"/>
      <c r="E51" s="718" t="s">
        <v>150</v>
      </c>
      <c r="F51" s="718"/>
      <c r="G51" s="718">
        <f>33.5-33.15</f>
        <v>0.3500000000000014</v>
      </c>
      <c r="H51" s="716">
        <f t="shared" si="0"/>
        <v>0.3500000000000014</v>
      </c>
      <c r="I51" s="726"/>
      <c r="J51" s="726"/>
      <c r="K51" s="726"/>
      <c r="L51" s="726"/>
      <c r="M51" s="725">
        <f t="shared" si="1"/>
        <v>0</v>
      </c>
      <c r="N51" s="725">
        <f t="shared" si="2"/>
        <v>0</v>
      </c>
      <c r="O51" s="716"/>
      <c r="P51" s="716"/>
      <c r="Q51" s="718"/>
      <c r="R51" s="548"/>
      <c r="S51" s="718"/>
      <c r="T51" s="716">
        <f t="shared" si="3"/>
        <v>0</v>
      </c>
      <c r="U51" s="718"/>
      <c r="V51" s="718"/>
      <c r="W51" s="718"/>
      <c r="X51" s="718"/>
      <c r="Y51" s="718"/>
      <c r="Z51" s="718"/>
      <c r="AA51" s="718"/>
      <c r="AB51" s="718"/>
      <c r="AC51" s="738">
        <v>747.78</v>
      </c>
      <c r="AD51" s="726"/>
    </row>
    <row r="52" spans="1:30" ht="17.25" customHeight="1">
      <c r="A52" s="716">
        <v>45</v>
      </c>
      <c r="B52" s="718" t="s">
        <v>398</v>
      </c>
      <c r="C52" s="718"/>
      <c r="D52" s="718"/>
      <c r="E52" s="718" t="s">
        <v>150</v>
      </c>
      <c r="F52" s="718"/>
      <c r="G52" s="718">
        <v>29.4</v>
      </c>
      <c r="H52" s="716">
        <f t="shared" si="0"/>
        <v>29.4</v>
      </c>
      <c r="I52" s="726"/>
      <c r="J52" s="726"/>
      <c r="K52" s="726">
        <v>4550</v>
      </c>
      <c r="L52" s="726">
        <v>6</v>
      </c>
      <c r="M52" s="725">
        <f t="shared" si="1"/>
        <v>4550</v>
      </c>
      <c r="N52" s="725">
        <f t="shared" si="2"/>
        <v>6</v>
      </c>
      <c r="O52" s="716"/>
      <c r="P52" s="716"/>
      <c r="Q52" s="718"/>
      <c r="R52" s="548">
        <v>3</v>
      </c>
      <c r="S52" s="718"/>
      <c r="T52" s="716">
        <f t="shared" si="3"/>
        <v>3</v>
      </c>
      <c r="U52" s="718"/>
      <c r="V52" s="718"/>
      <c r="W52" s="718"/>
      <c r="X52" s="718"/>
      <c r="Y52" s="718"/>
      <c r="Z52" s="718"/>
      <c r="AA52" s="718"/>
      <c r="AB52" s="718"/>
      <c r="AC52" s="738">
        <v>708.8159</v>
      </c>
      <c r="AD52" s="726"/>
    </row>
    <row r="53" spans="1:30" ht="17.25" customHeight="1">
      <c r="A53" s="718">
        <v>46</v>
      </c>
      <c r="B53" s="718" t="s">
        <v>399</v>
      </c>
      <c r="C53" s="718"/>
      <c r="D53" s="718"/>
      <c r="E53" s="718" t="s">
        <v>150</v>
      </c>
      <c r="F53" s="718"/>
      <c r="G53" s="718">
        <v>12.15</v>
      </c>
      <c r="H53" s="716">
        <f t="shared" si="0"/>
        <v>12.15</v>
      </c>
      <c r="I53" s="726"/>
      <c r="J53" s="726"/>
      <c r="K53" s="726">
        <v>2570</v>
      </c>
      <c r="L53" s="726">
        <v>7</v>
      </c>
      <c r="M53" s="725">
        <f t="shared" si="1"/>
        <v>2570</v>
      </c>
      <c r="N53" s="725">
        <f t="shared" si="2"/>
        <v>7</v>
      </c>
      <c r="O53" s="716"/>
      <c r="P53" s="716"/>
      <c r="Q53" s="718"/>
      <c r="R53" s="548">
        <v>1</v>
      </c>
      <c r="S53" s="718"/>
      <c r="T53" s="716">
        <f t="shared" si="3"/>
        <v>1</v>
      </c>
      <c r="U53" s="718"/>
      <c r="V53" s="718"/>
      <c r="W53" s="718"/>
      <c r="X53" s="718"/>
      <c r="Y53" s="718"/>
      <c r="Z53" s="718"/>
      <c r="AA53" s="718"/>
      <c r="AB53" s="718"/>
      <c r="AC53" s="738">
        <v>93.2061</v>
      </c>
      <c r="AD53" s="726"/>
    </row>
    <row r="54" spans="1:30" ht="17.25" customHeight="1">
      <c r="A54" s="716">
        <v>47</v>
      </c>
      <c r="B54" s="718" t="s">
        <v>400</v>
      </c>
      <c r="C54" s="718"/>
      <c r="D54" s="718"/>
      <c r="E54" s="718" t="s">
        <v>150</v>
      </c>
      <c r="F54" s="718"/>
      <c r="G54" s="718">
        <f>11.32+9.54</f>
        <v>20.86</v>
      </c>
      <c r="H54" s="716">
        <f t="shared" si="0"/>
        <v>20.86</v>
      </c>
      <c r="I54" s="726"/>
      <c r="J54" s="726"/>
      <c r="K54" s="726">
        <v>1890</v>
      </c>
      <c r="L54" s="726">
        <v>4</v>
      </c>
      <c r="M54" s="725">
        <f t="shared" si="1"/>
        <v>1890</v>
      </c>
      <c r="N54" s="725">
        <f t="shared" si="2"/>
        <v>4</v>
      </c>
      <c r="O54" s="718"/>
      <c r="P54" s="718"/>
      <c r="Q54" s="718"/>
      <c r="R54" s="548">
        <v>1</v>
      </c>
      <c r="S54" s="718"/>
      <c r="T54" s="716">
        <f t="shared" si="3"/>
        <v>1</v>
      </c>
      <c r="U54" s="718"/>
      <c r="V54" s="718"/>
      <c r="W54" s="718"/>
      <c r="X54" s="718"/>
      <c r="Y54" s="718"/>
      <c r="Z54" s="718"/>
      <c r="AA54" s="718"/>
      <c r="AB54" s="718"/>
      <c r="AC54" s="738">
        <v>148.7585</v>
      </c>
      <c r="AD54" s="726"/>
    </row>
    <row r="55" spans="1:30" ht="17.25" customHeight="1">
      <c r="A55" s="718">
        <v>48</v>
      </c>
      <c r="B55" s="721" t="s">
        <v>401</v>
      </c>
      <c r="C55" s="718"/>
      <c r="D55" s="718"/>
      <c r="E55" s="718" t="s">
        <v>150</v>
      </c>
      <c r="F55" s="718"/>
      <c r="G55" s="718">
        <v>9.8</v>
      </c>
      <c r="H55" s="716">
        <f t="shared" si="0"/>
        <v>9.8</v>
      </c>
      <c r="I55" s="726"/>
      <c r="J55" s="726"/>
      <c r="K55" s="726">
        <v>9339</v>
      </c>
      <c r="L55" s="726">
        <v>185</v>
      </c>
      <c r="M55" s="725">
        <f t="shared" si="1"/>
        <v>9339</v>
      </c>
      <c r="N55" s="725">
        <f t="shared" si="2"/>
        <v>185</v>
      </c>
      <c r="O55" s="718"/>
      <c r="P55" s="718"/>
      <c r="Q55" s="718"/>
      <c r="R55" s="718"/>
      <c r="S55" s="718"/>
      <c r="T55" s="716"/>
      <c r="U55" s="718"/>
      <c r="V55" s="718"/>
      <c r="W55" s="718"/>
      <c r="X55" s="718"/>
      <c r="Y55" s="718"/>
      <c r="Z55" s="718"/>
      <c r="AA55" s="718"/>
      <c r="AB55" s="718"/>
      <c r="AC55" s="738">
        <v>2517.6</v>
      </c>
      <c r="AD55" s="726"/>
    </row>
    <row r="56" spans="1:31" ht="17.25" customHeight="1">
      <c r="A56" s="722" t="s">
        <v>122</v>
      </c>
      <c r="B56" s="723"/>
      <c r="C56" s="718">
        <v>6</v>
      </c>
      <c r="D56" s="718">
        <v>12</v>
      </c>
      <c r="E56" s="718">
        <v>30</v>
      </c>
      <c r="F56" s="718">
        <f aca="true" t="shared" si="9" ref="F56:AC56">SUM(F8:F55)</f>
        <v>1497.4029</v>
      </c>
      <c r="G56" s="718">
        <f t="shared" si="9"/>
        <v>2266.8110000000006</v>
      </c>
      <c r="H56" s="718">
        <f t="shared" si="9"/>
        <v>3764.2139</v>
      </c>
      <c r="I56" s="718">
        <f t="shared" si="9"/>
        <v>30553.999999999996</v>
      </c>
      <c r="J56" s="718">
        <f t="shared" si="9"/>
        <v>759</v>
      </c>
      <c r="K56" s="718">
        <f t="shared" si="9"/>
        <v>283789.9</v>
      </c>
      <c r="L56" s="718">
        <f t="shared" si="9"/>
        <v>3640</v>
      </c>
      <c r="M56" s="718">
        <f t="shared" si="9"/>
        <v>314343.9</v>
      </c>
      <c r="N56" s="718">
        <f t="shared" si="9"/>
        <v>4399</v>
      </c>
      <c r="O56" s="718">
        <f t="shared" si="9"/>
        <v>12704</v>
      </c>
      <c r="P56" s="718">
        <f t="shared" si="9"/>
        <v>12687</v>
      </c>
      <c r="Q56" s="718">
        <f t="shared" si="9"/>
        <v>0</v>
      </c>
      <c r="R56" s="718">
        <f t="shared" si="9"/>
        <v>163</v>
      </c>
      <c r="S56" s="718">
        <f t="shared" si="9"/>
        <v>0</v>
      </c>
      <c r="T56" s="718">
        <f t="shared" si="9"/>
        <v>163</v>
      </c>
      <c r="U56" s="718">
        <f t="shared" si="9"/>
        <v>19700</v>
      </c>
      <c r="V56" s="718">
        <f t="shared" si="9"/>
        <v>117</v>
      </c>
      <c r="W56" s="718">
        <f t="shared" si="9"/>
        <v>23234</v>
      </c>
      <c r="X56" s="718">
        <f t="shared" si="9"/>
        <v>1793</v>
      </c>
      <c r="Y56" s="718">
        <f t="shared" si="9"/>
        <v>392</v>
      </c>
      <c r="Z56" s="718">
        <f t="shared" si="9"/>
        <v>163</v>
      </c>
      <c r="AA56" s="718">
        <f t="shared" si="9"/>
        <v>937</v>
      </c>
      <c r="AB56" s="718">
        <f t="shared" si="9"/>
        <v>0</v>
      </c>
      <c r="AC56" s="726">
        <f t="shared" si="9"/>
        <v>48724.712999999996</v>
      </c>
      <c r="AD56" s="726">
        <v>1.29</v>
      </c>
      <c r="AE56" s="734"/>
    </row>
    <row r="57" spans="1:30" ht="17.25" customHeight="1">
      <c r="A57" s="722" t="s">
        <v>209</v>
      </c>
      <c r="B57" s="723"/>
      <c r="C57" s="724">
        <v>6</v>
      </c>
      <c r="D57" s="724">
        <v>12</v>
      </c>
      <c r="E57" s="724">
        <v>30</v>
      </c>
      <c r="F57" s="724">
        <f aca="true" t="shared" si="10" ref="F57:AD57">F56</f>
        <v>1497.4029</v>
      </c>
      <c r="G57" s="724">
        <f t="shared" si="10"/>
        <v>2266.8110000000006</v>
      </c>
      <c r="H57" s="724">
        <f t="shared" si="10"/>
        <v>3764.2139</v>
      </c>
      <c r="I57" s="724">
        <f t="shared" si="10"/>
        <v>30553.999999999996</v>
      </c>
      <c r="J57" s="724">
        <f t="shared" si="10"/>
        <v>759</v>
      </c>
      <c r="K57" s="724">
        <f t="shared" si="10"/>
        <v>283789.9</v>
      </c>
      <c r="L57" s="724">
        <f t="shared" si="10"/>
        <v>3640</v>
      </c>
      <c r="M57" s="724">
        <f t="shared" si="10"/>
        <v>314343.9</v>
      </c>
      <c r="N57" s="724">
        <f t="shared" si="10"/>
        <v>4399</v>
      </c>
      <c r="O57" s="724">
        <f t="shared" si="10"/>
        <v>12704</v>
      </c>
      <c r="P57" s="724">
        <f t="shared" si="10"/>
        <v>12687</v>
      </c>
      <c r="Q57" s="724">
        <f t="shared" si="10"/>
        <v>0</v>
      </c>
      <c r="R57" s="724">
        <f t="shared" si="10"/>
        <v>163</v>
      </c>
      <c r="S57" s="724">
        <f t="shared" si="10"/>
        <v>0</v>
      </c>
      <c r="T57" s="724">
        <f t="shared" si="10"/>
        <v>163</v>
      </c>
      <c r="U57" s="724">
        <f t="shared" si="10"/>
        <v>19700</v>
      </c>
      <c r="V57" s="724">
        <f t="shared" si="10"/>
        <v>117</v>
      </c>
      <c r="W57" s="724">
        <f t="shared" si="10"/>
        <v>23234</v>
      </c>
      <c r="X57" s="724">
        <f t="shared" si="10"/>
        <v>1793</v>
      </c>
      <c r="Y57" s="724">
        <f t="shared" si="10"/>
        <v>392</v>
      </c>
      <c r="Z57" s="724">
        <f t="shared" si="10"/>
        <v>163</v>
      </c>
      <c r="AA57" s="724">
        <f t="shared" si="10"/>
        <v>937</v>
      </c>
      <c r="AB57" s="724">
        <f t="shared" si="10"/>
        <v>0</v>
      </c>
      <c r="AC57" s="742">
        <f t="shared" si="10"/>
        <v>48724.712999999996</v>
      </c>
      <c r="AD57" s="742">
        <f t="shared" si="10"/>
        <v>1.29</v>
      </c>
    </row>
    <row r="58" spans="1:30" ht="17.25" customHeight="1">
      <c r="A58" s="439"/>
      <c r="B58" s="440" t="s">
        <v>210</v>
      </c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660"/>
      <c r="AD58" s="343"/>
    </row>
    <row r="59" spans="4:26" ht="17.25" customHeight="1">
      <c r="D59" s="294" t="s">
        <v>176</v>
      </c>
      <c r="O59" s="294" t="s">
        <v>177</v>
      </c>
      <c r="Z59" s="294" t="s">
        <v>402</v>
      </c>
    </row>
    <row r="60" spans="4:11" ht="21.75" customHeight="1">
      <c r="D60" s="661"/>
      <c r="E60" s="661"/>
      <c r="K60" s="294"/>
    </row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80" spans="2:21" ht="15"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</row>
    <row r="81" spans="2:21" ht="15">
      <c r="B81" s="447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</row>
  </sheetData>
  <sheetProtection/>
  <mergeCells count="23">
    <mergeCell ref="A2:AD2"/>
    <mergeCell ref="E3:H3"/>
    <mergeCell ref="C4:E4"/>
    <mergeCell ref="F4:H4"/>
    <mergeCell ref="I4:N4"/>
    <mergeCell ref="Q4:T4"/>
    <mergeCell ref="U4:V4"/>
    <mergeCell ref="W4:Y4"/>
    <mergeCell ref="AA4:AB4"/>
    <mergeCell ref="A56:B56"/>
    <mergeCell ref="A57:B57"/>
    <mergeCell ref="B4:B7"/>
    <mergeCell ref="C5:C7"/>
    <mergeCell ref="D5:D7"/>
    <mergeCell ref="E5:E7"/>
    <mergeCell ref="W5:W6"/>
    <mergeCell ref="AD6:AD7"/>
    <mergeCell ref="F5:H6"/>
    <mergeCell ref="I5:J6"/>
    <mergeCell ref="K5:L6"/>
    <mergeCell ref="M5:N6"/>
    <mergeCell ref="U5:V6"/>
    <mergeCell ref="AA5:AB6"/>
  </mergeCells>
  <printOptions horizontalCentered="1" verticalCentered="1"/>
  <pageMargins left="0.25972222222222224" right="0.16944444444444445" top="0.21944444444444444" bottom="0.2" header="0.2" footer="0.1798611111111111"/>
  <pageSetup horizontalDpi="360" verticalDpi="360" orientation="landscape" paperSize="8" scale="7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H65"/>
  <sheetViews>
    <sheetView workbookViewId="0" topLeftCell="A1">
      <pane xSplit="2" ySplit="6" topLeftCell="C52" activePane="bottomRight" state="frozen"/>
      <selection pane="bottomRight" activeCell="AG6" sqref="AG6"/>
    </sheetView>
  </sheetViews>
  <sheetFormatPr defaultColWidth="9.00390625" defaultRowHeight="17.25" customHeight="1"/>
  <cols>
    <col min="1" max="1" width="3.75390625" style="670" customWidth="1"/>
    <col min="2" max="2" width="10.375" style="670" customWidth="1"/>
    <col min="3" max="3" width="2.25390625" style="670" customWidth="1"/>
    <col min="4" max="4" width="2.375" style="670" customWidth="1"/>
    <col min="5" max="5" width="2.50390625" style="670" customWidth="1"/>
    <col min="6" max="6" width="8.875" style="670" customWidth="1"/>
    <col min="7" max="7" width="7.875" style="670" customWidth="1"/>
    <col min="8" max="8" width="8.375" style="670" customWidth="1"/>
    <col min="9" max="9" width="9.625" style="670" customWidth="1"/>
    <col min="10" max="10" width="8.875" style="670" customWidth="1"/>
    <col min="11" max="11" width="9.875" style="670" customWidth="1"/>
    <col min="12" max="12" width="8.25390625" style="670" customWidth="1"/>
    <col min="13" max="13" width="9.375" style="670" customWidth="1"/>
    <col min="14" max="14" width="8.375" style="670" customWidth="1"/>
    <col min="15" max="15" width="5.625" style="670" customWidth="1"/>
    <col min="16" max="16" width="5.25390625" style="670" customWidth="1"/>
    <col min="17" max="17" width="3.75390625" style="670" customWidth="1"/>
    <col min="18" max="18" width="4.00390625" style="670" customWidth="1"/>
    <col min="19" max="19" width="3.625" style="670" customWidth="1"/>
    <col min="20" max="20" width="4.625" style="670" customWidth="1"/>
    <col min="21" max="21" width="6.25390625" style="670" customWidth="1"/>
    <col min="22" max="22" width="4.00390625" style="670" customWidth="1"/>
    <col min="23" max="23" width="4.125" style="670" customWidth="1"/>
    <col min="24" max="24" width="4.75390625" style="670" customWidth="1"/>
    <col min="25" max="25" width="5.50390625" style="670" customWidth="1"/>
    <col min="26" max="27" width="4.625" style="670" customWidth="1"/>
    <col min="28" max="28" width="4.50390625" style="670" customWidth="1"/>
    <col min="29" max="29" width="12.00390625" style="670" customWidth="1"/>
    <col min="30" max="30" width="6.75390625" style="670" customWidth="1"/>
    <col min="31" max="31" width="5.625" style="670" customWidth="1"/>
    <col min="32" max="32" width="9.50390625" style="670" customWidth="1"/>
    <col min="33" max="33" width="14.25390625" style="670" customWidth="1"/>
    <col min="34" max="34" width="10.875" style="670" customWidth="1"/>
    <col min="35" max="35" width="4.75390625" style="670" customWidth="1"/>
    <col min="36" max="36" width="5.50390625" style="670" customWidth="1"/>
    <col min="37" max="37" width="5.25390625" style="670" customWidth="1"/>
    <col min="38" max="38" width="4.375" style="670" customWidth="1"/>
    <col min="39" max="16384" width="9.00390625" style="670" customWidth="1"/>
  </cols>
  <sheetData>
    <row r="1" spans="1:30" s="667" customFormat="1" ht="17.25" customHeight="1">
      <c r="A1" s="671" t="s">
        <v>97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</row>
    <row r="2" spans="1:28" s="667" customFormat="1" ht="17.25" customHeight="1">
      <c r="A2" s="667" t="s">
        <v>403</v>
      </c>
      <c r="AB2" s="667" t="s">
        <v>101</v>
      </c>
    </row>
    <row r="3" spans="1:30" s="668" customFormat="1" ht="17.25" customHeight="1">
      <c r="A3" s="673" t="s">
        <v>102</v>
      </c>
      <c r="B3" s="674" t="s">
        <v>103</v>
      </c>
      <c r="C3" s="674" t="s">
        <v>104</v>
      </c>
      <c r="D3" s="674"/>
      <c r="E3" s="674"/>
      <c r="F3" s="675" t="s">
        <v>105</v>
      </c>
      <c r="G3" s="676"/>
      <c r="H3" s="676"/>
      <c r="I3" s="676" t="s">
        <v>404</v>
      </c>
      <c r="J3" s="676"/>
      <c r="K3" s="676"/>
      <c r="L3" s="676"/>
      <c r="M3" s="676"/>
      <c r="N3" s="676"/>
      <c r="O3" s="673" t="s">
        <v>107</v>
      </c>
      <c r="P3" s="673" t="s">
        <v>108</v>
      </c>
      <c r="Q3" s="702" t="s">
        <v>109</v>
      </c>
      <c r="R3" s="703"/>
      <c r="S3" s="703"/>
      <c r="T3" s="675"/>
      <c r="U3" s="676" t="s">
        <v>110</v>
      </c>
      <c r="V3" s="676"/>
      <c r="W3" s="702" t="s">
        <v>111</v>
      </c>
      <c r="X3" s="703"/>
      <c r="Y3" s="675"/>
      <c r="Z3" s="673" t="s">
        <v>112</v>
      </c>
      <c r="AA3" s="676" t="s">
        <v>113</v>
      </c>
      <c r="AB3" s="676"/>
      <c r="AC3" s="673" t="s">
        <v>114</v>
      </c>
      <c r="AD3" s="673" t="s">
        <v>115</v>
      </c>
    </row>
    <row r="4" spans="1:30" s="668" customFormat="1" ht="17.25" customHeight="1">
      <c r="A4" s="677"/>
      <c r="B4" s="674"/>
      <c r="C4" s="674" t="s">
        <v>116</v>
      </c>
      <c r="D4" s="674" t="s">
        <v>117</v>
      </c>
      <c r="E4" s="674" t="s">
        <v>118</v>
      </c>
      <c r="F4" s="678" t="s">
        <v>119</v>
      </c>
      <c r="G4" s="679"/>
      <c r="H4" s="679"/>
      <c r="I4" s="674" t="s">
        <v>120</v>
      </c>
      <c r="J4" s="674"/>
      <c r="K4" s="674" t="s">
        <v>121</v>
      </c>
      <c r="L4" s="674"/>
      <c r="M4" s="674" t="s">
        <v>122</v>
      </c>
      <c r="N4" s="674"/>
      <c r="O4" s="677"/>
      <c r="P4" s="700" t="s">
        <v>123</v>
      </c>
      <c r="Q4" s="673"/>
      <c r="R4" s="673"/>
      <c r="S4" s="673"/>
      <c r="T4" s="673"/>
      <c r="U4" s="674" t="s">
        <v>405</v>
      </c>
      <c r="V4" s="674"/>
      <c r="W4" s="704" t="s">
        <v>125</v>
      </c>
      <c r="X4" s="704" t="s">
        <v>126</v>
      </c>
      <c r="Y4" s="704" t="s">
        <v>126</v>
      </c>
      <c r="Z4" s="705" t="s">
        <v>127</v>
      </c>
      <c r="AA4" s="674" t="s">
        <v>128</v>
      </c>
      <c r="AB4" s="674"/>
      <c r="AC4" s="680" t="s">
        <v>129</v>
      </c>
      <c r="AD4" s="680" t="s">
        <v>130</v>
      </c>
    </row>
    <row r="5" spans="1:30" s="668" customFormat="1" ht="17.25" customHeight="1">
      <c r="A5" s="677"/>
      <c r="B5" s="674"/>
      <c r="C5" s="674"/>
      <c r="D5" s="674"/>
      <c r="E5" s="674"/>
      <c r="F5" s="678"/>
      <c r="G5" s="679"/>
      <c r="H5" s="679"/>
      <c r="I5" s="674"/>
      <c r="J5" s="674"/>
      <c r="K5" s="674"/>
      <c r="L5" s="674"/>
      <c r="M5" s="674"/>
      <c r="N5" s="674"/>
      <c r="O5" s="680" t="s">
        <v>131</v>
      </c>
      <c r="P5" s="701" t="s">
        <v>132</v>
      </c>
      <c r="Q5" s="677"/>
      <c r="R5" s="677" t="s">
        <v>133</v>
      </c>
      <c r="S5" s="677"/>
      <c r="T5" s="677"/>
      <c r="U5" s="674"/>
      <c r="V5" s="674"/>
      <c r="W5" s="705"/>
      <c r="X5" s="705"/>
      <c r="Y5" s="705"/>
      <c r="Z5" s="707" t="s">
        <v>134</v>
      </c>
      <c r="AA5" s="674"/>
      <c r="AB5" s="674"/>
      <c r="AC5" s="673" t="s">
        <v>135</v>
      </c>
      <c r="AD5" s="708" t="s">
        <v>136</v>
      </c>
    </row>
    <row r="6" spans="1:30" s="668" customFormat="1" ht="17.25" customHeight="1">
      <c r="A6" s="680" t="s">
        <v>137</v>
      </c>
      <c r="B6" s="674"/>
      <c r="C6" s="674"/>
      <c r="D6" s="674"/>
      <c r="E6" s="674"/>
      <c r="F6" s="675" t="s">
        <v>120</v>
      </c>
      <c r="G6" s="676" t="s">
        <v>121</v>
      </c>
      <c r="H6" s="676" t="s">
        <v>122</v>
      </c>
      <c r="I6" s="676" t="s">
        <v>138</v>
      </c>
      <c r="J6" s="676" t="s">
        <v>139</v>
      </c>
      <c r="K6" s="676" t="s">
        <v>138</v>
      </c>
      <c r="L6" s="676" t="s">
        <v>139</v>
      </c>
      <c r="M6" s="676" t="s">
        <v>138</v>
      </c>
      <c r="N6" s="676" t="s">
        <v>139</v>
      </c>
      <c r="O6" s="676" t="s">
        <v>128</v>
      </c>
      <c r="P6" s="676" t="s">
        <v>128</v>
      </c>
      <c r="Q6" s="706" t="s">
        <v>406</v>
      </c>
      <c r="R6" s="680" t="s">
        <v>141</v>
      </c>
      <c r="S6" s="680" t="s">
        <v>142</v>
      </c>
      <c r="T6" s="680" t="s">
        <v>122</v>
      </c>
      <c r="U6" s="676" t="s">
        <v>138</v>
      </c>
      <c r="V6" s="676" t="s">
        <v>139</v>
      </c>
      <c r="W6" s="680"/>
      <c r="X6" s="680" t="s">
        <v>143</v>
      </c>
      <c r="Y6" s="680" t="s">
        <v>144</v>
      </c>
      <c r="Z6" s="676" t="s">
        <v>145</v>
      </c>
      <c r="AA6" s="679" t="s">
        <v>146</v>
      </c>
      <c r="AB6" s="679" t="s">
        <v>147</v>
      </c>
      <c r="AC6" s="680" t="s">
        <v>148</v>
      </c>
      <c r="AD6" s="706"/>
    </row>
    <row r="7" spans="1:34" s="669" customFormat="1" ht="17.25" customHeight="1">
      <c r="A7" s="681">
        <v>1</v>
      </c>
      <c r="B7" s="681" t="s">
        <v>407</v>
      </c>
      <c r="C7" s="681"/>
      <c r="D7" s="682" t="s">
        <v>150</v>
      </c>
      <c r="E7" s="681"/>
      <c r="F7" s="683">
        <v>73.92</v>
      </c>
      <c r="G7" s="683">
        <v>21.2</v>
      </c>
      <c r="H7" s="681">
        <f aca="true" t="shared" si="0" ref="H7:H36">F7+G7</f>
        <v>95.12</v>
      </c>
      <c r="I7" s="683">
        <v>1452.6</v>
      </c>
      <c r="J7" s="683">
        <v>49</v>
      </c>
      <c r="K7" s="683">
        <v>1982.6</v>
      </c>
      <c r="L7" s="683">
        <v>34</v>
      </c>
      <c r="M7" s="681">
        <f aca="true" t="shared" si="1" ref="M7:N33">I7+K7</f>
        <v>3435.2</v>
      </c>
      <c r="N7" s="681">
        <f t="shared" si="1"/>
        <v>83</v>
      </c>
      <c r="O7" s="681">
        <v>249</v>
      </c>
      <c r="P7" s="681">
        <v>258</v>
      </c>
      <c r="Q7" s="681"/>
      <c r="R7" s="681">
        <v>3</v>
      </c>
      <c r="S7" s="681"/>
      <c r="T7" s="681">
        <f aca="true" t="shared" si="2" ref="T7:T36">Q7+R7+S7</f>
        <v>3</v>
      </c>
      <c r="U7" s="681">
        <v>800</v>
      </c>
      <c r="V7" s="681">
        <v>4</v>
      </c>
      <c r="W7" s="681">
        <v>1</v>
      </c>
      <c r="X7" s="681">
        <v>81</v>
      </c>
      <c r="Y7" s="681">
        <v>1</v>
      </c>
      <c r="Z7" s="681">
        <v>2</v>
      </c>
      <c r="AA7" s="681">
        <f aca="true" t="shared" si="3" ref="AA7:AA60">Z7*3</f>
        <v>6</v>
      </c>
      <c r="AB7" s="681">
        <f aca="true" t="shared" si="4" ref="AB7:AB61">Z7*3</f>
        <v>6</v>
      </c>
      <c r="AC7" s="709">
        <v>293.9082</v>
      </c>
      <c r="AD7" s="709">
        <v>8.26835205992508</v>
      </c>
      <c r="AG7" s="690"/>
      <c r="AH7" s="690"/>
    </row>
    <row r="8" spans="1:30" s="669" customFormat="1" ht="17.25" customHeight="1">
      <c r="A8" s="681">
        <v>2</v>
      </c>
      <c r="B8" s="683" t="s">
        <v>408</v>
      </c>
      <c r="C8" s="683"/>
      <c r="D8" s="684" t="s">
        <v>150</v>
      </c>
      <c r="E8" s="683"/>
      <c r="F8" s="683">
        <v>73.75</v>
      </c>
      <c r="G8" s="683">
        <v>1.103</v>
      </c>
      <c r="H8" s="681">
        <f t="shared" si="0"/>
        <v>74.853</v>
      </c>
      <c r="I8" s="683">
        <v>1030</v>
      </c>
      <c r="J8" s="683">
        <v>39</v>
      </c>
      <c r="K8" s="683">
        <v>1000</v>
      </c>
      <c r="L8" s="683">
        <v>14</v>
      </c>
      <c r="M8" s="681">
        <f t="shared" si="1"/>
        <v>2030</v>
      </c>
      <c r="N8" s="681">
        <f t="shared" si="1"/>
        <v>53</v>
      </c>
      <c r="O8" s="681">
        <v>159</v>
      </c>
      <c r="P8" s="681">
        <v>162</v>
      </c>
      <c r="Q8" s="683"/>
      <c r="R8" s="681">
        <v>1</v>
      </c>
      <c r="S8" s="683"/>
      <c r="T8" s="681">
        <f t="shared" si="2"/>
        <v>1</v>
      </c>
      <c r="U8" s="683">
        <v>200</v>
      </c>
      <c r="V8" s="683">
        <v>1</v>
      </c>
      <c r="W8" s="681">
        <v>4</v>
      </c>
      <c r="X8" s="681">
        <v>52</v>
      </c>
      <c r="Y8" s="681">
        <v>1</v>
      </c>
      <c r="Z8" s="681">
        <v>3</v>
      </c>
      <c r="AA8" s="681">
        <f t="shared" si="3"/>
        <v>9</v>
      </c>
      <c r="AB8" s="681">
        <f t="shared" si="4"/>
        <v>9</v>
      </c>
      <c r="AC8" s="709">
        <v>266.8457</v>
      </c>
      <c r="AD8" s="709">
        <v>8.80187969924812</v>
      </c>
    </row>
    <row r="9" spans="1:30" s="669" customFormat="1" ht="17.25" customHeight="1">
      <c r="A9" s="681">
        <v>3</v>
      </c>
      <c r="B9" s="684" t="s">
        <v>409</v>
      </c>
      <c r="C9" s="683"/>
      <c r="D9" s="683"/>
      <c r="E9" s="684" t="s">
        <v>150</v>
      </c>
      <c r="F9" s="683"/>
      <c r="G9" s="683">
        <v>35</v>
      </c>
      <c r="H9" s="681">
        <f t="shared" si="0"/>
        <v>35</v>
      </c>
      <c r="I9" s="683"/>
      <c r="J9" s="683"/>
      <c r="K9" s="683">
        <v>2985</v>
      </c>
      <c r="L9" s="683">
        <v>37</v>
      </c>
      <c r="M9" s="681">
        <f t="shared" si="1"/>
        <v>2985</v>
      </c>
      <c r="N9" s="681">
        <f t="shared" si="1"/>
        <v>37</v>
      </c>
      <c r="O9" s="681">
        <v>111</v>
      </c>
      <c r="P9" s="681">
        <v>129</v>
      </c>
      <c r="Q9" s="683"/>
      <c r="R9" s="681">
        <v>6</v>
      </c>
      <c r="S9" s="683"/>
      <c r="T9" s="681">
        <f t="shared" si="2"/>
        <v>6</v>
      </c>
      <c r="U9" s="683">
        <v>2700</v>
      </c>
      <c r="V9" s="683">
        <v>18</v>
      </c>
      <c r="W9" s="681"/>
      <c r="X9" s="681">
        <v>1</v>
      </c>
      <c r="Y9" s="681">
        <v>1</v>
      </c>
      <c r="Z9" s="681">
        <v>1</v>
      </c>
      <c r="AA9" s="681">
        <f t="shared" si="3"/>
        <v>3</v>
      </c>
      <c r="AB9" s="681">
        <f t="shared" si="4"/>
        <v>3</v>
      </c>
      <c r="AC9" s="709">
        <v>1024.35</v>
      </c>
      <c r="AD9" s="709">
        <v>0</v>
      </c>
    </row>
    <row r="10" spans="1:30" s="669" customFormat="1" ht="17.25" customHeight="1">
      <c r="A10" s="681">
        <v>4</v>
      </c>
      <c r="B10" s="684" t="s">
        <v>410</v>
      </c>
      <c r="C10" s="683"/>
      <c r="D10" s="683"/>
      <c r="E10" s="684" t="s">
        <v>150</v>
      </c>
      <c r="F10" s="683"/>
      <c r="G10" s="683">
        <v>35</v>
      </c>
      <c r="H10" s="681">
        <f t="shared" si="0"/>
        <v>35</v>
      </c>
      <c r="I10" s="683"/>
      <c r="J10" s="683"/>
      <c r="K10" s="683">
        <v>1840</v>
      </c>
      <c r="L10" s="683">
        <v>23</v>
      </c>
      <c r="M10" s="681">
        <f t="shared" si="1"/>
        <v>1840</v>
      </c>
      <c r="N10" s="681">
        <f t="shared" si="1"/>
        <v>23</v>
      </c>
      <c r="O10" s="681">
        <v>69</v>
      </c>
      <c r="P10" s="681">
        <v>75</v>
      </c>
      <c r="Q10" s="683"/>
      <c r="R10" s="681">
        <v>2</v>
      </c>
      <c r="S10" s="683"/>
      <c r="T10" s="681">
        <f t="shared" si="2"/>
        <v>2</v>
      </c>
      <c r="U10" s="683">
        <v>600</v>
      </c>
      <c r="V10" s="683">
        <v>3</v>
      </c>
      <c r="W10" s="681"/>
      <c r="X10" s="681"/>
      <c r="Y10" s="681"/>
      <c r="Z10" s="681">
        <v>1</v>
      </c>
      <c r="AA10" s="681">
        <f t="shared" si="3"/>
        <v>3</v>
      </c>
      <c r="AB10" s="681">
        <f t="shared" si="4"/>
        <v>3</v>
      </c>
      <c r="AC10" s="709">
        <v>93.6</v>
      </c>
      <c r="AD10" s="709">
        <v>0</v>
      </c>
    </row>
    <row r="11" spans="1:30" s="669" customFormat="1" ht="17.25" customHeight="1">
      <c r="A11" s="681">
        <v>5</v>
      </c>
      <c r="B11" s="684" t="s">
        <v>411</v>
      </c>
      <c r="C11" s="683"/>
      <c r="D11" s="683"/>
      <c r="E11" s="684" t="s">
        <v>150</v>
      </c>
      <c r="F11" s="683"/>
      <c r="G11" s="683">
        <v>98.2</v>
      </c>
      <c r="H11" s="681">
        <f t="shared" si="0"/>
        <v>98.2</v>
      </c>
      <c r="I11" s="683"/>
      <c r="J11" s="683"/>
      <c r="K11" s="683">
        <v>15970</v>
      </c>
      <c r="L11" s="683">
        <v>158</v>
      </c>
      <c r="M11" s="681">
        <f t="shared" si="1"/>
        <v>15970</v>
      </c>
      <c r="N11" s="681">
        <f t="shared" si="1"/>
        <v>158</v>
      </c>
      <c r="O11" s="681">
        <v>474</v>
      </c>
      <c r="P11" s="681">
        <v>495</v>
      </c>
      <c r="Q11" s="683"/>
      <c r="R11" s="681">
        <v>7</v>
      </c>
      <c r="S11" s="683"/>
      <c r="T11" s="681">
        <f t="shared" si="2"/>
        <v>7</v>
      </c>
      <c r="U11" s="683">
        <v>5850</v>
      </c>
      <c r="V11" s="683">
        <v>39</v>
      </c>
      <c r="W11" s="681"/>
      <c r="X11" s="681">
        <v>1</v>
      </c>
      <c r="Y11" s="681">
        <v>1</v>
      </c>
      <c r="Z11" s="681">
        <v>1</v>
      </c>
      <c r="AA11" s="681">
        <f t="shared" si="3"/>
        <v>3</v>
      </c>
      <c r="AB11" s="681">
        <f t="shared" si="4"/>
        <v>3</v>
      </c>
      <c r="AC11" s="709">
        <v>2155.05</v>
      </c>
      <c r="AD11" s="709">
        <v>0</v>
      </c>
    </row>
    <row r="12" spans="1:30" s="669" customFormat="1" ht="17.25" customHeight="1">
      <c r="A12" s="681">
        <v>6</v>
      </c>
      <c r="B12" s="684" t="s">
        <v>412</v>
      </c>
      <c r="C12" s="683"/>
      <c r="D12" s="683"/>
      <c r="E12" s="684" t="s">
        <v>150</v>
      </c>
      <c r="F12" s="683"/>
      <c r="G12" s="683">
        <v>24.7</v>
      </c>
      <c r="H12" s="681">
        <f t="shared" si="0"/>
        <v>24.7</v>
      </c>
      <c r="I12" s="683"/>
      <c r="J12" s="683"/>
      <c r="K12" s="683">
        <v>4435</v>
      </c>
      <c r="L12" s="683">
        <v>28</v>
      </c>
      <c r="M12" s="681">
        <f t="shared" si="1"/>
        <v>4435</v>
      </c>
      <c r="N12" s="681">
        <f t="shared" si="1"/>
        <v>28</v>
      </c>
      <c r="O12" s="681">
        <v>84</v>
      </c>
      <c r="P12" s="681">
        <v>90</v>
      </c>
      <c r="Q12" s="683"/>
      <c r="R12" s="681">
        <v>2</v>
      </c>
      <c r="S12" s="683"/>
      <c r="T12" s="681">
        <f t="shared" si="2"/>
        <v>2</v>
      </c>
      <c r="U12" s="683">
        <v>750</v>
      </c>
      <c r="V12" s="683">
        <v>5</v>
      </c>
      <c r="W12" s="681"/>
      <c r="X12" s="681"/>
      <c r="Y12" s="681"/>
      <c r="Z12" s="681">
        <v>1</v>
      </c>
      <c r="AA12" s="681">
        <f t="shared" si="3"/>
        <v>3</v>
      </c>
      <c r="AB12" s="681">
        <f t="shared" si="4"/>
        <v>3</v>
      </c>
      <c r="AC12" s="709">
        <v>838.8</v>
      </c>
      <c r="AD12" s="709">
        <v>0</v>
      </c>
    </row>
    <row r="13" spans="1:30" s="669" customFormat="1" ht="17.25" customHeight="1">
      <c r="A13" s="681">
        <v>7</v>
      </c>
      <c r="B13" s="684" t="s">
        <v>413</v>
      </c>
      <c r="C13" s="683"/>
      <c r="D13" s="684" t="s">
        <v>150</v>
      </c>
      <c r="E13" s="683"/>
      <c r="F13" s="683">
        <v>70.28</v>
      </c>
      <c r="G13" s="683">
        <v>55.78</v>
      </c>
      <c r="H13" s="681">
        <f t="shared" si="0"/>
        <v>126.06</v>
      </c>
      <c r="I13" s="683">
        <v>1100</v>
      </c>
      <c r="J13" s="683">
        <v>21</v>
      </c>
      <c r="K13" s="683">
        <v>2320</v>
      </c>
      <c r="L13" s="683">
        <v>32</v>
      </c>
      <c r="M13" s="681">
        <f t="shared" si="1"/>
        <v>3420</v>
      </c>
      <c r="N13" s="681">
        <f t="shared" si="1"/>
        <v>53</v>
      </c>
      <c r="O13" s="681">
        <v>159</v>
      </c>
      <c r="P13" s="681">
        <v>168</v>
      </c>
      <c r="Q13" s="683"/>
      <c r="R13" s="681">
        <v>3</v>
      </c>
      <c r="S13" s="683"/>
      <c r="T13" s="681">
        <f t="shared" si="2"/>
        <v>3</v>
      </c>
      <c r="U13" s="683">
        <v>400</v>
      </c>
      <c r="V13" s="683">
        <v>1</v>
      </c>
      <c r="W13" s="681">
        <v>3</v>
      </c>
      <c r="X13" s="681">
        <v>57</v>
      </c>
      <c r="Y13" s="681">
        <v>11</v>
      </c>
      <c r="Z13" s="681">
        <v>57</v>
      </c>
      <c r="AA13" s="681">
        <f t="shared" si="3"/>
        <v>171</v>
      </c>
      <c r="AB13" s="681">
        <f t="shared" si="4"/>
        <v>171</v>
      </c>
      <c r="AC13" s="709">
        <v>464.7301</v>
      </c>
      <c r="AD13" s="709">
        <v>8.065262116716124</v>
      </c>
    </row>
    <row r="14" spans="1:30" s="669" customFormat="1" ht="17.25" customHeight="1">
      <c r="A14" s="681">
        <v>8</v>
      </c>
      <c r="B14" s="684" t="s">
        <v>414</v>
      </c>
      <c r="C14" s="683"/>
      <c r="D14" s="684" t="s">
        <v>150</v>
      </c>
      <c r="E14" s="683"/>
      <c r="F14" s="683">
        <v>98.36</v>
      </c>
      <c r="G14" s="683">
        <v>62</v>
      </c>
      <c r="H14" s="681">
        <f t="shared" si="0"/>
        <v>160.36</v>
      </c>
      <c r="I14" s="683">
        <v>6990</v>
      </c>
      <c r="J14" s="683">
        <v>66</v>
      </c>
      <c r="K14" s="683">
        <v>1042.6</v>
      </c>
      <c r="L14" s="683">
        <v>28</v>
      </c>
      <c r="M14" s="681">
        <f t="shared" si="1"/>
        <v>8032.6</v>
      </c>
      <c r="N14" s="681">
        <f t="shared" si="1"/>
        <v>94</v>
      </c>
      <c r="O14" s="681">
        <v>282</v>
      </c>
      <c r="P14" s="681">
        <v>300</v>
      </c>
      <c r="Q14" s="683"/>
      <c r="R14" s="681">
        <v>6</v>
      </c>
      <c r="S14" s="683"/>
      <c r="T14" s="681">
        <f t="shared" si="2"/>
        <v>6</v>
      </c>
      <c r="U14" s="683">
        <v>750</v>
      </c>
      <c r="V14" s="683">
        <v>6</v>
      </c>
      <c r="W14" s="681">
        <v>3</v>
      </c>
      <c r="X14" s="681">
        <v>20</v>
      </c>
      <c r="Y14" s="681">
        <v>17</v>
      </c>
      <c r="Z14" s="681">
        <v>129</v>
      </c>
      <c r="AA14" s="681">
        <f t="shared" si="3"/>
        <v>387</v>
      </c>
      <c r="AB14" s="681">
        <f t="shared" si="4"/>
        <v>387</v>
      </c>
      <c r="AC14" s="709">
        <v>1392.064</v>
      </c>
      <c r="AD14" s="709">
        <v>5.686720867208667</v>
      </c>
    </row>
    <row r="15" spans="1:30" s="669" customFormat="1" ht="17.25" customHeight="1">
      <c r="A15" s="681">
        <v>9</v>
      </c>
      <c r="B15" s="684" t="s">
        <v>415</v>
      </c>
      <c r="C15" s="683"/>
      <c r="D15" s="683"/>
      <c r="E15" s="684" t="s">
        <v>150</v>
      </c>
      <c r="F15" s="683"/>
      <c r="G15" s="683">
        <v>0.724</v>
      </c>
      <c r="H15" s="681">
        <f t="shared" si="0"/>
        <v>0.724</v>
      </c>
      <c r="I15" s="683"/>
      <c r="J15" s="683"/>
      <c r="K15" s="683">
        <v>1890</v>
      </c>
      <c r="L15" s="683">
        <v>3</v>
      </c>
      <c r="M15" s="681">
        <f t="shared" si="1"/>
        <v>1890</v>
      </c>
      <c r="N15" s="681">
        <f t="shared" si="1"/>
        <v>3</v>
      </c>
      <c r="O15" s="681">
        <v>9</v>
      </c>
      <c r="P15" s="681">
        <v>12</v>
      </c>
      <c r="Q15" s="683"/>
      <c r="R15" s="681">
        <v>1</v>
      </c>
      <c r="S15" s="683"/>
      <c r="T15" s="681">
        <f t="shared" si="2"/>
        <v>1</v>
      </c>
      <c r="U15" s="683"/>
      <c r="V15" s="683"/>
      <c r="W15" s="681"/>
      <c r="X15" s="681">
        <v>1</v>
      </c>
      <c r="Y15" s="681">
        <v>1</v>
      </c>
      <c r="Z15" s="681">
        <v>1</v>
      </c>
      <c r="AA15" s="681">
        <f t="shared" si="3"/>
        <v>3</v>
      </c>
      <c r="AB15" s="681">
        <f t="shared" si="4"/>
        <v>3</v>
      </c>
      <c r="AC15" s="709">
        <v>426.4</v>
      </c>
      <c r="AD15" s="709">
        <v>0</v>
      </c>
    </row>
    <row r="16" spans="1:30" s="669" customFormat="1" ht="17.25" customHeight="1">
      <c r="A16" s="681">
        <v>10</v>
      </c>
      <c r="B16" s="684" t="s">
        <v>416</v>
      </c>
      <c r="C16" s="683"/>
      <c r="D16" s="683"/>
      <c r="E16" s="684" t="s">
        <v>150</v>
      </c>
      <c r="F16" s="683"/>
      <c r="G16" s="683">
        <v>13.67</v>
      </c>
      <c r="H16" s="681">
        <f t="shared" si="0"/>
        <v>13.67</v>
      </c>
      <c r="I16" s="683"/>
      <c r="J16" s="683"/>
      <c r="K16" s="683">
        <v>1600</v>
      </c>
      <c r="L16" s="683">
        <v>17</v>
      </c>
      <c r="M16" s="681">
        <f t="shared" si="1"/>
        <v>1600</v>
      </c>
      <c r="N16" s="681">
        <f t="shared" si="1"/>
        <v>17</v>
      </c>
      <c r="O16" s="681">
        <v>51</v>
      </c>
      <c r="P16" s="681">
        <v>57</v>
      </c>
      <c r="Q16" s="683"/>
      <c r="R16" s="681">
        <v>2</v>
      </c>
      <c r="S16" s="683"/>
      <c r="T16" s="681">
        <f t="shared" si="2"/>
        <v>2</v>
      </c>
      <c r="U16" s="683">
        <v>400</v>
      </c>
      <c r="V16" s="683">
        <v>2</v>
      </c>
      <c r="W16" s="681"/>
      <c r="X16" s="681">
        <v>1</v>
      </c>
      <c r="Y16" s="681">
        <v>1</v>
      </c>
      <c r="Z16" s="681">
        <v>1</v>
      </c>
      <c r="AA16" s="681">
        <f t="shared" si="3"/>
        <v>3</v>
      </c>
      <c r="AB16" s="681">
        <f t="shared" si="4"/>
        <v>3</v>
      </c>
      <c r="AC16" s="709">
        <v>12.2413</v>
      </c>
      <c r="AD16" s="709">
        <v>0</v>
      </c>
    </row>
    <row r="17" spans="1:30" s="669" customFormat="1" ht="17.25" customHeight="1">
      <c r="A17" s="681">
        <v>11</v>
      </c>
      <c r="B17" s="684" t="s">
        <v>417</v>
      </c>
      <c r="C17" s="683"/>
      <c r="D17" s="683"/>
      <c r="E17" s="684" t="s">
        <v>150</v>
      </c>
      <c r="F17" s="683"/>
      <c r="G17" s="683">
        <v>45.54</v>
      </c>
      <c r="H17" s="681">
        <f t="shared" si="0"/>
        <v>45.54</v>
      </c>
      <c r="I17" s="683"/>
      <c r="J17" s="683"/>
      <c r="K17" s="683">
        <v>8660</v>
      </c>
      <c r="L17" s="683">
        <v>50</v>
      </c>
      <c r="M17" s="681">
        <f t="shared" si="1"/>
        <v>8660</v>
      </c>
      <c r="N17" s="681">
        <f t="shared" si="1"/>
        <v>50</v>
      </c>
      <c r="O17" s="681">
        <v>150</v>
      </c>
      <c r="P17" s="681">
        <v>159</v>
      </c>
      <c r="Q17" s="683"/>
      <c r="R17" s="681">
        <v>3</v>
      </c>
      <c r="S17" s="683"/>
      <c r="T17" s="681">
        <f t="shared" si="2"/>
        <v>3</v>
      </c>
      <c r="U17" s="683">
        <v>1950</v>
      </c>
      <c r="V17" s="683">
        <v>2</v>
      </c>
      <c r="W17" s="681"/>
      <c r="X17" s="681">
        <v>1</v>
      </c>
      <c r="Y17" s="681">
        <v>1</v>
      </c>
      <c r="Z17" s="681">
        <v>1</v>
      </c>
      <c r="AA17" s="681">
        <f t="shared" si="3"/>
        <v>3</v>
      </c>
      <c r="AB17" s="681">
        <f t="shared" si="4"/>
        <v>3</v>
      </c>
      <c r="AC17" s="709">
        <v>1294.2</v>
      </c>
      <c r="AD17" s="709">
        <v>0</v>
      </c>
    </row>
    <row r="18" spans="1:30" s="669" customFormat="1" ht="17.25" customHeight="1">
      <c r="A18" s="681">
        <v>12</v>
      </c>
      <c r="B18" s="684" t="s">
        <v>418</v>
      </c>
      <c r="C18" s="683"/>
      <c r="D18" s="683"/>
      <c r="E18" s="684" t="s">
        <v>150</v>
      </c>
      <c r="F18" s="683"/>
      <c r="G18" s="683">
        <v>32</v>
      </c>
      <c r="H18" s="681">
        <f t="shared" si="0"/>
        <v>32</v>
      </c>
      <c r="I18" s="683"/>
      <c r="J18" s="683"/>
      <c r="K18" s="683">
        <v>1500</v>
      </c>
      <c r="L18" s="683">
        <v>25</v>
      </c>
      <c r="M18" s="681">
        <f t="shared" si="1"/>
        <v>1500</v>
      </c>
      <c r="N18" s="681">
        <f t="shared" si="1"/>
        <v>25</v>
      </c>
      <c r="O18" s="681">
        <v>75</v>
      </c>
      <c r="P18" s="681">
        <v>81</v>
      </c>
      <c r="Q18" s="683"/>
      <c r="R18" s="681">
        <v>2</v>
      </c>
      <c r="S18" s="683"/>
      <c r="T18" s="681">
        <f t="shared" si="2"/>
        <v>2</v>
      </c>
      <c r="U18" s="683"/>
      <c r="V18" s="683"/>
      <c r="W18" s="681"/>
      <c r="X18" s="681"/>
      <c r="Y18" s="681"/>
      <c r="Z18" s="681">
        <v>1</v>
      </c>
      <c r="AA18" s="681">
        <f t="shared" si="3"/>
        <v>3</v>
      </c>
      <c r="AB18" s="681">
        <f t="shared" si="4"/>
        <v>3</v>
      </c>
      <c r="AC18" s="709">
        <v>1147.4</v>
      </c>
      <c r="AD18" s="709">
        <v>0</v>
      </c>
    </row>
    <row r="19" spans="1:30" s="669" customFormat="1" ht="17.25" customHeight="1">
      <c r="A19" s="681">
        <v>13</v>
      </c>
      <c r="B19" s="684" t="s">
        <v>419</v>
      </c>
      <c r="C19" s="683"/>
      <c r="D19" s="683"/>
      <c r="E19" s="684" t="s">
        <v>150</v>
      </c>
      <c r="F19" s="683"/>
      <c r="G19" s="683">
        <v>39.2</v>
      </c>
      <c r="H19" s="681">
        <f t="shared" si="0"/>
        <v>39.2</v>
      </c>
      <c r="I19" s="683"/>
      <c r="J19" s="683"/>
      <c r="K19" s="683">
        <v>8230</v>
      </c>
      <c r="L19" s="683">
        <v>82</v>
      </c>
      <c r="M19" s="681">
        <f t="shared" si="1"/>
        <v>8230</v>
      </c>
      <c r="N19" s="681">
        <f t="shared" si="1"/>
        <v>82</v>
      </c>
      <c r="O19" s="681">
        <v>246</v>
      </c>
      <c r="P19" s="681">
        <v>258</v>
      </c>
      <c r="Q19" s="683"/>
      <c r="R19" s="681">
        <v>4</v>
      </c>
      <c r="S19" s="683"/>
      <c r="T19" s="681">
        <f t="shared" si="2"/>
        <v>4</v>
      </c>
      <c r="U19" s="683">
        <v>1200</v>
      </c>
      <c r="V19" s="683">
        <v>4</v>
      </c>
      <c r="W19" s="681"/>
      <c r="X19" s="681">
        <v>1</v>
      </c>
      <c r="Y19" s="681">
        <v>1</v>
      </c>
      <c r="Z19" s="681">
        <v>1</v>
      </c>
      <c r="AA19" s="681">
        <f t="shared" si="3"/>
        <v>3</v>
      </c>
      <c r="AB19" s="681">
        <f t="shared" si="4"/>
        <v>3</v>
      </c>
      <c r="AC19" s="709">
        <v>54.6</v>
      </c>
      <c r="AD19" s="709">
        <v>0</v>
      </c>
    </row>
    <row r="20" spans="1:30" s="669" customFormat="1" ht="17.25" customHeight="1">
      <c r="A20" s="681">
        <v>14</v>
      </c>
      <c r="B20" s="685" t="s">
        <v>420</v>
      </c>
      <c r="C20" s="683"/>
      <c r="D20" s="683" t="s">
        <v>150</v>
      </c>
      <c r="E20" s="684"/>
      <c r="F20" s="683">
        <v>80.68</v>
      </c>
      <c r="G20" s="683">
        <v>0.063</v>
      </c>
      <c r="H20" s="681">
        <f t="shared" si="0"/>
        <v>80.74300000000001</v>
      </c>
      <c r="I20" s="683">
        <v>828.9</v>
      </c>
      <c r="J20" s="683">
        <v>32</v>
      </c>
      <c r="K20" s="683">
        <v>750</v>
      </c>
      <c r="L20" s="683">
        <v>15</v>
      </c>
      <c r="M20" s="681">
        <f t="shared" si="1"/>
        <v>1578.9</v>
      </c>
      <c r="N20" s="681">
        <f t="shared" si="1"/>
        <v>47</v>
      </c>
      <c r="O20" s="681">
        <v>141</v>
      </c>
      <c r="P20" s="681">
        <v>144</v>
      </c>
      <c r="Q20" s="683"/>
      <c r="R20" s="681">
        <v>2</v>
      </c>
      <c r="S20" s="683"/>
      <c r="T20" s="681">
        <f t="shared" si="2"/>
        <v>2</v>
      </c>
      <c r="U20" s="683"/>
      <c r="V20" s="683"/>
      <c r="W20" s="681">
        <v>3</v>
      </c>
      <c r="X20" s="681">
        <v>36</v>
      </c>
      <c r="Y20" s="681">
        <v>2</v>
      </c>
      <c r="Z20" s="681">
        <v>1</v>
      </c>
      <c r="AA20" s="681">
        <f t="shared" si="3"/>
        <v>3</v>
      </c>
      <c r="AB20" s="681">
        <f t="shared" si="4"/>
        <v>3</v>
      </c>
      <c r="AC20" s="709">
        <v>160.2315</v>
      </c>
      <c r="AD20" s="709">
        <v>15.28865979381443</v>
      </c>
    </row>
    <row r="21" spans="1:30" s="669" customFormat="1" ht="17.25" customHeight="1">
      <c r="A21" s="681">
        <v>15</v>
      </c>
      <c r="B21" s="685" t="s">
        <v>421</v>
      </c>
      <c r="C21" s="683"/>
      <c r="D21" s="683" t="s">
        <v>150</v>
      </c>
      <c r="E21" s="684"/>
      <c r="F21" s="683">
        <v>87.95</v>
      </c>
      <c r="G21" s="683">
        <v>6.1</v>
      </c>
      <c r="H21" s="681">
        <f t="shared" si="0"/>
        <v>94.05</v>
      </c>
      <c r="I21" s="683">
        <v>1080.9</v>
      </c>
      <c r="J21" s="683">
        <v>35</v>
      </c>
      <c r="K21" s="683">
        <v>3650</v>
      </c>
      <c r="L21" s="683">
        <v>51</v>
      </c>
      <c r="M21" s="681">
        <f t="shared" si="1"/>
        <v>4730.9</v>
      </c>
      <c r="N21" s="681">
        <f t="shared" si="1"/>
        <v>86</v>
      </c>
      <c r="O21" s="681">
        <v>258</v>
      </c>
      <c r="P21" s="681">
        <v>267</v>
      </c>
      <c r="Q21" s="683"/>
      <c r="R21" s="681">
        <v>4</v>
      </c>
      <c r="S21" s="683"/>
      <c r="T21" s="681">
        <f t="shared" si="2"/>
        <v>4</v>
      </c>
      <c r="U21" s="683">
        <v>1500</v>
      </c>
      <c r="V21" s="683">
        <v>6</v>
      </c>
      <c r="W21" s="681">
        <v>3</v>
      </c>
      <c r="X21" s="681">
        <v>71</v>
      </c>
      <c r="Y21" s="681">
        <v>28</v>
      </c>
      <c r="Z21" s="681">
        <v>2</v>
      </c>
      <c r="AA21" s="681">
        <f t="shared" si="3"/>
        <v>6</v>
      </c>
      <c r="AB21" s="681">
        <f t="shared" si="4"/>
        <v>6</v>
      </c>
      <c r="AC21" s="709">
        <v>947.6528</v>
      </c>
      <c r="AD21" s="709">
        <v>2.6350765437172505</v>
      </c>
    </row>
    <row r="22" spans="1:30" s="669" customFormat="1" ht="17.25" customHeight="1">
      <c r="A22" s="681">
        <v>16</v>
      </c>
      <c r="B22" s="684" t="s">
        <v>422</v>
      </c>
      <c r="C22" s="683"/>
      <c r="D22" s="683"/>
      <c r="E22" s="684" t="s">
        <v>150</v>
      </c>
      <c r="F22" s="683"/>
      <c r="G22" s="683">
        <v>24.2</v>
      </c>
      <c r="H22" s="681">
        <f t="shared" si="0"/>
        <v>24.2</v>
      </c>
      <c r="I22" s="683">
        <v>0</v>
      </c>
      <c r="J22" s="683">
        <v>0</v>
      </c>
      <c r="K22" s="683">
        <v>1040</v>
      </c>
      <c r="L22" s="683">
        <v>15</v>
      </c>
      <c r="M22" s="681">
        <f t="shared" si="1"/>
        <v>1040</v>
      </c>
      <c r="N22" s="681">
        <f t="shared" si="1"/>
        <v>15</v>
      </c>
      <c r="O22" s="681">
        <v>45</v>
      </c>
      <c r="P22" s="681">
        <v>54</v>
      </c>
      <c r="Q22" s="683"/>
      <c r="R22" s="681">
        <v>3</v>
      </c>
      <c r="S22" s="683"/>
      <c r="T22" s="681">
        <f t="shared" si="2"/>
        <v>3</v>
      </c>
      <c r="U22" s="683">
        <v>1500</v>
      </c>
      <c r="V22" s="683">
        <v>5</v>
      </c>
      <c r="W22" s="681"/>
      <c r="X22" s="681">
        <v>1</v>
      </c>
      <c r="Y22" s="681">
        <v>1</v>
      </c>
      <c r="Z22" s="681">
        <v>1</v>
      </c>
      <c r="AA22" s="681">
        <f t="shared" si="3"/>
        <v>3</v>
      </c>
      <c r="AB22" s="681">
        <f t="shared" si="4"/>
        <v>3</v>
      </c>
      <c r="AC22" s="709">
        <v>213</v>
      </c>
      <c r="AD22" s="709">
        <v>0</v>
      </c>
    </row>
    <row r="23" spans="1:30" s="669" customFormat="1" ht="17.25" customHeight="1">
      <c r="A23" s="681">
        <v>17</v>
      </c>
      <c r="B23" s="684" t="s">
        <v>423</v>
      </c>
      <c r="C23" s="683"/>
      <c r="D23" s="683"/>
      <c r="E23" s="684" t="s">
        <v>150</v>
      </c>
      <c r="F23" s="683"/>
      <c r="G23" s="683">
        <v>34</v>
      </c>
      <c r="H23" s="681">
        <f t="shared" si="0"/>
        <v>34</v>
      </c>
      <c r="I23" s="683"/>
      <c r="J23" s="683">
        <v>0</v>
      </c>
      <c r="K23" s="683">
        <v>3020</v>
      </c>
      <c r="L23" s="683">
        <v>36</v>
      </c>
      <c r="M23" s="681">
        <f t="shared" si="1"/>
        <v>3020</v>
      </c>
      <c r="N23" s="681">
        <f t="shared" si="1"/>
        <v>36</v>
      </c>
      <c r="O23" s="681">
        <v>108</v>
      </c>
      <c r="P23" s="681">
        <v>114</v>
      </c>
      <c r="Q23" s="683"/>
      <c r="R23" s="681">
        <v>2</v>
      </c>
      <c r="S23" s="683"/>
      <c r="T23" s="681">
        <f t="shared" si="2"/>
        <v>2</v>
      </c>
      <c r="U23" s="683"/>
      <c r="V23" s="683"/>
      <c r="W23" s="681"/>
      <c r="X23" s="681">
        <v>1</v>
      </c>
      <c r="Y23" s="681">
        <v>1</v>
      </c>
      <c r="Z23" s="681">
        <v>1</v>
      </c>
      <c r="AA23" s="681">
        <f t="shared" si="3"/>
        <v>3</v>
      </c>
      <c r="AB23" s="681">
        <f t="shared" si="4"/>
        <v>3</v>
      </c>
      <c r="AC23" s="709">
        <v>47.4</v>
      </c>
      <c r="AD23" s="709">
        <v>0</v>
      </c>
    </row>
    <row r="24" spans="1:30" s="669" customFormat="1" ht="17.25" customHeight="1">
      <c r="A24" s="681">
        <v>18</v>
      </c>
      <c r="B24" s="685" t="s">
        <v>424</v>
      </c>
      <c r="C24" s="683"/>
      <c r="D24" s="683" t="s">
        <v>150</v>
      </c>
      <c r="E24" s="684"/>
      <c r="F24" s="683">
        <v>71.1</v>
      </c>
      <c r="G24" s="683">
        <v>6</v>
      </c>
      <c r="H24" s="681">
        <f t="shared" si="0"/>
        <v>77.1</v>
      </c>
      <c r="I24" s="683">
        <v>1046.3</v>
      </c>
      <c r="J24" s="683">
        <v>45</v>
      </c>
      <c r="K24" s="683">
        <v>976</v>
      </c>
      <c r="L24" s="683">
        <v>15</v>
      </c>
      <c r="M24" s="681">
        <f t="shared" si="1"/>
        <v>2022.3</v>
      </c>
      <c r="N24" s="681">
        <f t="shared" si="1"/>
        <v>60</v>
      </c>
      <c r="O24" s="681">
        <v>180</v>
      </c>
      <c r="P24" s="681">
        <v>186</v>
      </c>
      <c r="Q24" s="683"/>
      <c r="R24" s="681">
        <v>2</v>
      </c>
      <c r="S24" s="683"/>
      <c r="T24" s="681">
        <f t="shared" si="2"/>
        <v>2</v>
      </c>
      <c r="U24" s="683">
        <v>200</v>
      </c>
      <c r="V24" s="683">
        <v>2</v>
      </c>
      <c r="W24" s="681">
        <v>6</v>
      </c>
      <c r="X24" s="681">
        <v>51</v>
      </c>
      <c r="Y24" s="681">
        <v>3</v>
      </c>
      <c r="Z24" s="681">
        <v>4</v>
      </c>
      <c r="AA24" s="681">
        <f t="shared" si="3"/>
        <v>12</v>
      </c>
      <c r="AB24" s="681">
        <f t="shared" si="4"/>
        <v>12</v>
      </c>
      <c r="AC24" s="709">
        <v>222.2268</v>
      </c>
      <c r="AD24" s="709">
        <v>18.027738841755816</v>
      </c>
    </row>
    <row r="25" spans="1:30" s="669" customFormat="1" ht="17.25" customHeight="1">
      <c r="A25" s="681">
        <v>19</v>
      </c>
      <c r="B25" s="684" t="s">
        <v>425</v>
      </c>
      <c r="C25" s="683"/>
      <c r="D25" s="683"/>
      <c r="E25" s="684" t="s">
        <v>150</v>
      </c>
      <c r="F25" s="683"/>
      <c r="G25" s="683">
        <v>50.28</v>
      </c>
      <c r="H25" s="681">
        <f t="shared" si="0"/>
        <v>50.28</v>
      </c>
      <c r="I25" s="683"/>
      <c r="J25" s="683"/>
      <c r="K25" s="683">
        <v>2150</v>
      </c>
      <c r="L25" s="683">
        <v>26</v>
      </c>
      <c r="M25" s="681">
        <f t="shared" si="1"/>
        <v>2150</v>
      </c>
      <c r="N25" s="681">
        <f t="shared" si="1"/>
        <v>26</v>
      </c>
      <c r="O25" s="681">
        <v>78</v>
      </c>
      <c r="P25" s="681">
        <v>93</v>
      </c>
      <c r="Q25" s="683"/>
      <c r="R25" s="681">
        <v>5</v>
      </c>
      <c r="S25" s="683"/>
      <c r="T25" s="681">
        <f t="shared" si="2"/>
        <v>5</v>
      </c>
      <c r="U25" s="683"/>
      <c r="V25" s="683"/>
      <c r="W25" s="681"/>
      <c r="X25" s="681">
        <v>1</v>
      </c>
      <c r="Y25" s="681">
        <v>1</v>
      </c>
      <c r="Z25" s="681">
        <v>1</v>
      </c>
      <c r="AA25" s="681">
        <f t="shared" si="3"/>
        <v>3</v>
      </c>
      <c r="AB25" s="681">
        <f t="shared" si="4"/>
        <v>3</v>
      </c>
      <c r="AC25" s="709">
        <v>298.8</v>
      </c>
      <c r="AD25" s="709">
        <v>0</v>
      </c>
    </row>
    <row r="26" spans="1:30" s="669" customFormat="1" ht="17.25" customHeight="1">
      <c r="A26" s="681">
        <v>20</v>
      </c>
      <c r="B26" s="684" t="s">
        <v>426</v>
      </c>
      <c r="C26" s="683"/>
      <c r="D26" s="683"/>
      <c r="E26" s="684" t="s">
        <v>150</v>
      </c>
      <c r="F26" s="683"/>
      <c r="G26" s="683">
        <v>115.8</v>
      </c>
      <c r="H26" s="681">
        <f t="shared" si="0"/>
        <v>115.8</v>
      </c>
      <c r="I26" s="683"/>
      <c r="J26" s="683"/>
      <c r="K26" s="683">
        <v>6790</v>
      </c>
      <c r="L26" s="683">
        <v>77</v>
      </c>
      <c r="M26" s="681">
        <f t="shared" si="1"/>
        <v>6790</v>
      </c>
      <c r="N26" s="681">
        <f t="shared" si="1"/>
        <v>77</v>
      </c>
      <c r="O26" s="681">
        <v>231</v>
      </c>
      <c r="P26" s="681">
        <v>240</v>
      </c>
      <c r="Q26" s="683"/>
      <c r="R26" s="681">
        <v>3</v>
      </c>
      <c r="S26" s="683"/>
      <c r="T26" s="681">
        <f t="shared" si="2"/>
        <v>3</v>
      </c>
      <c r="U26" s="683"/>
      <c r="V26" s="683"/>
      <c r="W26" s="681"/>
      <c r="X26" s="681">
        <v>1</v>
      </c>
      <c r="Y26" s="681">
        <v>1</v>
      </c>
      <c r="Z26" s="681">
        <v>1</v>
      </c>
      <c r="AA26" s="681">
        <f t="shared" si="3"/>
        <v>3</v>
      </c>
      <c r="AB26" s="681">
        <f t="shared" si="4"/>
        <v>3</v>
      </c>
      <c r="AC26" s="709">
        <v>1287.8889</v>
      </c>
      <c r="AD26" s="709">
        <v>0</v>
      </c>
    </row>
    <row r="27" spans="1:30" s="669" customFormat="1" ht="17.25" customHeight="1">
      <c r="A27" s="681">
        <v>21</v>
      </c>
      <c r="B27" s="684" t="s">
        <v>427</v>
      </c>
      <c r="C27" s="683"/>
      <c r="D27" s="683" t="s">
        <v>150</v>
      </c>
      <c r="E27" s="684"/>
      <c r="F27" s="683">
        <v>154</v>
      </c>
      <c r="G27" s="683">
        <v>3</v>
      </c>
      <c r="H27" s="681">
        <f t="shared" si="0"/>
        <v>157</v>
      </c>
      <c r="I27" s="683">
        <v>2595</v>
      </c>
      <c r="J27" s="683">
        <v>77</v>
      </c>
      <c r="K27" s="683">
        <v>5895.2</v>
      </c>
      <c r="L27" s="683">
        <v>79</v>
      </c>
      <c r="M27" s="681">
        <f t="shared" si="1"/>
        <v>8490.2</v>
      </c>
      <c r="N27" s="681">
        <f t="shared" si="1"/>
        <v>156</v>
      </c>
      <c r="O27" s="681">
        <v>468</v>
      </c>
      <c r="P27" s="681">
        <v>471</v>
      </c>
      <c r="Q27" s="683"/>
      <c r="R27" s="681">
        <v>1</v>
      </c>
      <c r="S27" s="683"/>
      <c r="T27" s="681">
        <f t="shared" si="2"/>
        <v>1</v>
      </c>
      <c r="U27" s="683"/>
      <c r="V27" s="683"/>
      <c r="W27" s="681">
        <v>8</v>
      </c>
      <c r="X27" s="681">
        <v>129</v>
      </c>
      <c r="Y27" s="681">
        <v>18</v>
      </c>
      <c r="Z27" s="681">
        <v>7</v>
      </c>
      <c r="AA27" s="681">
        <f t="shared" si="3"/>
        <v>21</v>
      </c>
      <c r="AB27" s="681">
        <f t="shared" si="4"/>
        <v>21</v>
      </c>
      <c r="AC27" s="709">
        <v>286.3671</v>
      </c>
      <c r="AD27" s="709">
        <v>22.83290218270009</v>
      </c>
    </row>
    <row r="28" spans="1:30" s="669" customFormat="1" ht="17.25" customHeight="1">
      <c r="A28" s="681">
        <v>22</v>
      </c>
      <c r="B28" s="685" t="s">
        <v>428</v>
      </c>
      <c r="C28" s="683"/>
      <c r="D28" s="683" t="s">
        <v>150</v>
      </c>
      <c r="E28" s="684"/>
      <c r="F28" s="683">
        <v>31.9</v>
      </c>
      <c r="G28" s="683">
        <v>9.3</v>
      </c>
      <c r="H28" s="681">
        <f t="shared" si="0"/>
        <v>41.2</v>
      </c>
      <c r="I28" s="683">
        <v>985</v>
      </c>
      <c r="J28" s="683">
        <v>7</v>
      </c>
      <c r="K28" s="683">
        <v>10835</v>
      </c>
      <c r="L28" s="683">
        <v>41</v>
      </c>
      <c r="M28" s="681">
        <f t="shared" si="1"/>
        <v>11820</v>
      </c>
      <c r="N28" s="681">
        <f t="shared" si="1"/>
        <v>48</v>
      </c>
      <c r="O28" s="681">
        <v>144</v>
      </c>
      <c r="P28" s="681">
        <v>150</v>
      </c>
      <c r="Q28" s="683"/>
      <c r="R28" s="681">
        <v>3</v>
      </c>
      <c r="S28" s="683"/>
      <c r="T28" s="681">
        <f t="shared" si="2"/>
        <v>3</v>
      </c>
      <c r="U28" s="683">
        <v>300</v>
      </c>
      <c r="V28" s="683">
        <v>1</v>
      </c>
      <c r="W28" s="681"/>
      <c r="X28" s="681">
        <v>44</v>
      </c>
      <c r="Y28" s="681">
        <v>23</v>
      </c>
      <c r="Z28" s="681">
        <v>20</v>
      </c>
      <c r="AA28" s="681">
        <f t="shared" si="3"/>
        <v>60</v>
      </c>
      <c r="AB28" s="681">
        <f t="shared" si="4"/>
        <v>60</v>
      </c>
      <c r="AC28" s="709">
        <v>748.0192</v>
      </c>
      <c r="AD28" s="709">
        <v>10.820998016175801</v>
      </c>
    </row>
    <row r="29" spans="1:30" s="669" customFormat="1" ht="17.25" customHeight="1">
      <c r="A29" s="681">
        <v>23</v>
      </c>
      <c r="B29" s="684" t="s">
        <v>429</v>
      </c>
      <c r="C29" s="683"/>
      <c r="D29" s="683" t="s">
        <v>150</v>
      </c>
      <c r="E29" s="684"/>
      <c r="F29" s="683">
        <v>118.46</v>
      </c>
      <c r="G29" s="683">
        <v>4</v>
      </c>
      <c r="H29" s="681">
        <f t="shared" si="0"/>
        <v>122.46</v>
      </c>
      <c r="I29" s="683">
        <v>1297</v>
      </c>
      <c r="J29" s="683">
        <v>76</v>
      </c>
      <c r="K29" s="683">
        <v>3710</v>
      </c>
      <c r="L29" s="683">
        <v>66</v>
      </c>
      <c r="M29" s="681">
        <f t="shared" si="1"/>
        <v>5007</v>
      </c>
      <c r="N29" s="681">
        <f t="shared" si="1"/>
        <v>142</v>
      </c>
      <c r="O29" s="681">
        <v>426</v>
      </c>
      <c r="P29" s="681">
        <v>432</v>
      </c>
      <c r="Q29" s="683"/>
      <c r="R29" s="681">
        <v>2</v>
      </c>
      <c r="S29" s="683"/>
      <c r="T29" s="681">
        <f t="shared" si="2"/>
        <v>2</v>
      </c>
      <c r="U29" s="683"/>
      <c r="V29" s="683"/>
      <c r="W29" s="681">
        <v>3</v>
      </c>
      <c r="X29" s="681">
        <v>145</v>
      </c>
      <c r="Y29" s="681">
        <v>6</v>
      </c>
      <c r="Z29" s="681">
        <v>148</v>
      </c>
      <c r="AA29" s="681">
        <f t="shared" si="3"/>
        <v>444</v>
      </c>
      <c r="AB29" s="681">
        <f t="shared" si="4"/>
        <v>444</v>
      </c>
      <c r="AC29" s="709">
        <v>318.8222</v>
      </c>
      <c r="AD29" s="709">
        <v>11.512017762975299</v>
      </c>
    </row>
    <row r="30" spans="1:30" s="669" customFormat="1" ht="17.25" customHeight="1">
      <c r="A30" s="681">
        <v>24</v>
      </c>
      <c r="B30" s="685" t="s">
        <v>430</v>
      </c>
      <c r="C30" s="683"/>
      <c r="D30" s="683"/>
      <c r="E30" s="684" t="s">
        <v>150</v>
      </c>
      <c r="F30" s="683"/>
      <c r="G30" s="683">
        <v>80</v>
      </c>
      <c r="H30" s="681">
        <f t="shared" si="0"/>
        <v>80</v>
      </c>
      <c r="I30" s="683"/>
      <c r="J30" s="683"/>
      <c r="K30" s="683">
        <v>1700</v>
      </c>
      <c r="L30" s="683">
        <v>30</v>
      </c>
      <c r="M30" s="681">
        <f t="shared" si="1"/>
        <v>1700</v>
      </c>
      <c r="N30" s="681">
        <f t="shared" si="1"/>
        <v>30</v>
      </c>
      <c r="O30" s="681">
        <v>90</v>
      </c>
      <c r="P30" s="681">
        <v>96</v>
      </c>
      <c r="Q30" s="683"/>
      <c r="R30" s="681">
        <v>2</v>
      </c>
      <c r="S30" s="683"/>
      <c r="T30" s="681">
        <f t="shared" si="2"/>
        <v>2</v>
      </c>
      <c r="U30" s="683">
        <v>900</v>
      </c>
      <c r="V30" s="683">
        <v>6</v>
      </c>
      <c r="W30" s="681"/>
      <c r="X30" s="681">
        <v>1</v>
      </c>
      <c r="Y30" s="681">
        <v>1</v>
      </c>
      <c r="Z30" s="681">
        <v>1</v>
      </c>
      <c r="AA30" s="681">
        <f t="shared" si="3"/>
        <v>3</v>
      </c>
      <c r="AB30" s="681">
        <f t="shared" si="4"/>
        <v>3</v>
      </c>
      <c r="AC30" s="709">
        <v>186.02</v>
      </c>
      <c r="AD30" s="709">
        <v>0</v>
      </c>
    </row>
    <row r="31" spans="1:30" s="669" customFormat="1" ht="17.25" customHeight="1">
      <c r="A31" s="681">
        <v>25</v>
      </c>
      <c r="B31" s="684" t="s">
        <v>431</v>
      </c>
      <c r="C31" s="683"/>
      <c r="D31" s="683" t="s">
        <v>150</v>
      </c>
      <c r="E31" s="684"/>
      <c r="F31" s="683">
        <v>8.8</v>
      </c>
      <c r="G31" s="683">
        <v>0.624</v>
      </c>
      <c r="H31" s="681">
        <f t="shared" si="0"/>
        <v>9.424000000000001</v>
      </c>
      <c r="I31" s="683">
        <v>480</v>
      </c>
      <c r="J31" s="683">
        <v>5</v>
      </c>
      <c r="K31" s="683">
        <v>266.3</v>
      </c>
      <c r="L31" s="683">
        <v>7</v>
      </c>
      <c r="M31" s="681">
        <f t="shared" si="1"/>
        <v>746.3</v>
      </c>
      <c r="N31" s="681">
        <f t="shared" si="1"/>
        <v>12</v>
      </c>
      <c r="O31" s="681">
        <v>36</v>
      </c>
      <c r="P31" s="681">
        <v>39</v>
      </c>
      <c r="Q31" s="683"/>
      <c r="R31" s="681">
        <v>1</v>
      </c>
      <c r="S31" s="683"/>
      <c r="T31" s="681">
        <f t="shared" si="2"/>
        <v>1</v>
      </c>
      <c r="U31" s="683"/>
      <c r="V31" s="683"/>
      <c r="W31" s="681">
        <v>1</v>
      </c>
      <c r="X31" s="681">
        <v>16</v>
      </c>
      <c r="Y31" s="681"/>
      <c r="Z31" s="681">
        <v>17</v>
      </c>
      <c r="AA31" s="681">
        <f t="shared" si="3"/>
        <v>51</v>
      </c>
      <c r="AB31" s="681">
        <f t="shared" si="4"/>
        <v>51</v>
      </c>
      <c r="AC31" s="709">
        <v>128.6288</v>
      </c>
      <c r="AD31" s="709">
        <v>5.558883994126268</v>
      </c>
    </row>
    <row r="32" spans="1:30" s="669" customFormat="1" ht="17.25" customHeight="1">
      <c r="A32" s="681">
        <v>26</v>
      </c>
      <c r="B32" s="684" t="s">
        <v>432</v>
      </c>
      <c r="C32" s="683"/>
      <c r="D32" s="683" t="s">
        <v>150</v>
      </c>
      <c r="E32" s="684"/>
      <c r="F32" s="683">
        <v>77</v>
      </c>
      <c r="G32" s="683">
        <v>0.2</v>
      </c>
      <c r="H32" s="681">
        <f t="shared" si="0"/>
        <v>77.2</v>
      </c>
      <c r="I32" s="683">
        <v>685.4</v>
      </c>
      <c r="J32" s="683">
        <v>40</v>
      </c>
      <c r="K32" s="683">
        <v>210</v>
      </c>
      <c r="L32" s="683">
        <v>10</v>
      </c>
      <c r="M32" s="681">
        <f t="shared" si="1"/>
        <v>895.4</v>
      </c>
      <c r="N32" s="681">
        <f t="shared" si="1"/>
        <v>50</v>
      </c>
      <c r="O32" s="681">
        <v>150</v>
      </c>
      <c r="P32" s="681">
        <v>153</v>
      </c>
      <c r="Q32" s="683"/>
      <c r="R32" s="681">
        <v>1</v>
      </c>
      <c r="S32" s="683"/>
      <c r="T32" s="681">
        <f t="shared" si="2"/>
        <v>1</v>
      </c>
      <c r="U32" s="683"/>
      <c r="V32" s="683"/>
      <c r="W32" s="681">
        <v>13</v>
      </c>
      <c r="X32" s="681">
        <v>34</v>
      </c>
      <c r="Y32" s="681"/>
      <c r="Z32" s="681">
        <v>57</v>
      </c>
      <c r="AA32" s="681">
        <f t="shared" si="3"/>
        <v>171</v>
      </c>
      <c r="AB32" s="681">
        <f t="shared" si="4"/>
        <v>171</v>
      </c>
      <c r="AC32" s="709">
        <v>95.9556</v>
      </c>
      <c r="AD32" s="709">
        <v>9.561168708765306</v>
      </c>
    </row>
    <row r="33" spans="1:30" s="669" customFormat="1" ht="17.25" customHeight="1">
      <c r="A33" s="681">
        <v>27</v>
      </c>
      <c r="B33" s="685" t="s">
        <v>433</v>
      </c>
      <c r="C33" s="683"/>
      <c r="D33" s="683"/>
      <c r="E33" s="684" t="s">
        <v>150</v>
      </c>
      <c r="F33" s="683"/>
      <c r="G33" s="683">
        <v>50</v>
      </c>
      <c r="H33" s="681">
        <f t="shared" si="0"/>
        <v>50</v>
      </c>
      <c r="I33" s="683"/>
      <c r="J33" s="683"/>
      <c r="K33" s="683">
        <v>3166</v>
      </c>
      <c r="L33" s="683">
        <v>40</v>
      </c>
      <c r="M33" s="681">
        <f t="shared" si="1"/>
        <v>3166</v>
      </c>
      <c r="N33" s="681">
        <f t="shared" si="1"/>
        <v>40</v>
      </c>
      <c r="O33" s="681">
        <v>120</v>
      </c>
      <c r="P33" s="681">
        <v>126</v>
      </c>
      <c r="Q33" s="683"/>
      <c r="R33" s="681">
        <v>2</v>
      </c>
      <c r="S33" s="683"/>
      <c r="T33" s="681">
        <f t="shared" si="2"/>
        <v>2</v>
      </c>
      <c r="U33" s="683">
        <v>1500</v>
      </c>
      <c r="V33" s="683">
        <v>8</v>
      </c>
      <c r="W33" s="681"/>
      <c r="X33" s="681">
        <v>1</v>
      </c>
      <c r="Y33" s="681">
        <v>1</v>
      </c>
      <c r="Z33" s="681">
        <v>1</v>
      </c>
      <c r="AA33" s="681">
        <f t="shared" si="3"/>
        <v>3</v>
      </c>
      <c r="AB33" s="681">
        <f t="shared" si="4"/>
        <v>3</v>
      </c>
      <c r="AC33" s="709">
        <v>443.28</v>
      </c>
      <c r="AD33" s="709">
        <v>0</v>
      </c>
    </row>
    <row r="34" spans="1:30" s="669" customFormat="1" ht="17.25" customHeight="1">
      <c r="A34" s="681">
        <v>28</v>
      </c>
      <c r="B34" s="685" t="s">
        <v>434</v>
      </c>
      <c r="C34" s="686" t="s">
        <v>150</v>
      </c>
      <c r="D34" s="686"/>
      <c r="E34" s="686"/>
      <c r="F34" s="687">
        <v>16</v>
      </c>
      <c r="G34" s="687">
        <v>1.18</v>
      </c>
      <c r="H34" s="687">
        <f t="shared" si="0"/>
        <v>17.18</v>
      </c>
      <c r="I34" s="686">
        <v>4535</v>
      </c>
      <c r="J34" s="686">
        <v>20</v>
      </c>
      <c r="K34" s="686">
        <v>29750</v>
      </c>
      <c r="L34" s="686">
        <v>64</v>
      </c>
      <c r="M34" s="686">
        <f aca="true" t="shared" si="5" ref="M34:M38">K34+I34</f>
        <v>34285</v>
      </c>
      <c r="N34" s="686">
        <f aca="true" t="shared" si="6" ref="N34:N38">L34+J34</f>
        <v>84</v>
      </c>
      <c r="O34" s="686">
        <f aca="true" t="shared" si="7" ref="O34:O38">N34*3</f>
        <v>252</v>
      </c>
      <c r="P34" s="686">
        <f aca="true" t="shared" si="8" ref="P34:P38">N34*3</f>
        <v>252</v>
      </c>
      <c r="Q34" s="683"/>
      <c r="R34" s="681">
        <v>5</v>
      </c>
      <c r="S34" s="683"/>
      <c r="T34" s="681">
        <f t="shared" si="2"/>
        <v>5</v>
      </c>
      <c r="U34" s="683"/>
      <c r="V34" s="683"/>
      <c r="W34" s="681"/>
      <c r="X34" s="681">
        <v>105</v>
      </c>
      <c r="Y34" s="681">
        <v>105</v>
      </c>
      <c r="Z34" s="681">
        <v>105</v>
      </c>
      <c r="AA34" s="681">
        <f t="shared" si="3"/>
        <v>315</v>
      </c>
      <c r="AB34" s="681">
        <f t="shared" si="4"/>
        <v>315</v>
      </c>
      <c r="AC34" s="709">
        <v>3050.5818</v>
      </c>
      <c r="AD34" s="709">
        <v>4.157640352431551</v>
      </c>
    </row>
    <row r="35" spans="1:30" s="669" customFormat="1" ht="17.25" customHeight="1">
      <c r="A35" s="681">
        <v>29</v>
      </c>
      <c r="B35" s="684" t="s">
        <v>435</v>
      </c>
      <c r="C35" s="683" t="s">
        <v>150</v>
      </c>
      <c r="D35" s="683"/>
      <c r="E35" s="684"/>
      <c r="F35" s="683">
        <v>21.8</v>
      </c>
      <c r="G35" s="683">
        <v>1.24</v>
      </c>
      <c r="H35" s="681">
        <f t="shared" si="0"/>
        <v>23.04</v>
      </c>
      <c r="I35" s="683">
        <v>1355</v>
      </c>
      <c r="J35" s="683">
        <v>9</v>
      </c>
      <c r="K35" s="683">
        <v>21780</v>
      </c>
      <c r="L35" s="683">
        <v>47</v>
      </c>
      <c r="M35" s="681">
        <f>I35+K35</f>
        <v>23135</v>
      </c>
      <c r="N35" s="681">
        <f>J35+L35</f>
        <v>56</v>
      </c>
      <c r="O35" s="681">
        <v>168</v>
      </c>
      <c r="P35" s="681">
        <v>180</v>
      </c>
      <c r="Q35" s="683"/>
      <c r="R35" s="681">
        <v>4</v>
      </c>
      <c r="S35" s="683"/>
      <c r="T35" s="681">
        <f t="shared" si="2"/>
        <v>4</v>
      </c>
      <c r="U35" s="683"/>
      <c r="V35" s="683"/>
      <c r="W35" s="681"/>
      <c r="X35" s="681">
        <v>34</v>
      </c>
      <c r="Y35" s="681">
        <v>34</v>
      </c>
      <c r="Z35" s="681">
        <v>34</v>
      </c>
      <c r="AA35" s="681">
        <f t="shared" si="3"/>
        <v>102</v>
      </c>
      <c r="AB35" s="681">
        <f t="shared" si="4"/>
        <v>102</v>
      </c>
      <c r="AC35" s="709">
        <v>1918.1455</v>
      </c>
      <c r="AD35" s="709">
        <v>4.51705122435893</v>
      </c>
    </row>
    <row r="36" spans="1:30" s="669" customFormat="1" ht="17.25" customHeight="1">
      <c r="A36" s="681">
        <v>30</v>
      </c>
      <c r="B36" s="685" t="s">
        <v>436</v>
      </c>
      <c r="C36" s="683"/>
      <c r="D36" s="683"/>
      <c r="E36" s="684" t="s">
        <v>150</v>
      </c>
      <c r="F36" s="683">
        <v>6.8</v>
      </c>
      <c r="G36" s="683">
        <v>15</v>
      </c>
      <c r="H36" s="681">
        <f t="shared" si="0"/>
        <v>21.8</v>
      </c>
      <c r="I36" s="683">
        <v>630</v>
      </c>
      <c r="J36" s="683">
        <v>2</v>
      </c>
      <c r="K36" s="683"/>
      <c r="L36" s="683"/>
      <c r="M36" s="681">
        <f>I36+K36</f>
        <v>630</v>
      </c>
      <c r="N36" s="681">
        <f>J36+L36</f>
        <v>2</v>
      </c>
      <c r="O36" s="681">
        <v>6</v>
      </c>
      <c r="P36" s="681">
        <v>12</v>
      </c>
      <c r="Q36" s="683"/>
      <c r="R36" s="681">
        <v>5</v>
      </c>
      <c r="S36" s="683"/>
      <c r="T36" s="681">
        <f t="shared" si="2"/>
        <v>5</v>
      </c>
      <c r="U36" s="683"/>
      <c r="V36" s="683"/>
      <c r="W36" s="681"/>
      <c r="X36" s="681">
        <v>6</v>
      </c>
      <c r="Y36" s="681">
        <v>6</v>
      </c>
      <c r="Z36" s="681">
        <v>6</v>
      </c>
      <c r="AA36" s="681">
        <f t="shared" si="3"/>
        <v>18</v>
      </c>
      <c r="AB36" s="681">
        <f t="shared" si="4"/>
        <v>18</v>
      </c>
      <c r="AC36" s="709">
        <v>1290.7288</v>
      </c>
      <c r="AD36" s="709">
        <v>3.8210800531740294</v>
      </c>
    </row>
    <row r="37" spans="1:30" s="669" customFormat="1" ht="17.25" customHeight="1">
      <c r="A37" s="681">
        <v>31</v>
      </c>
      <c r="B37" s="685" t="s">
        <v>437</v>
      </c>
      <c r="C37" s="688" t="s">
        <v>150</v>
      </c>
      <c r="D37" s="688"/>
      <c r="E37" s="688"/>
      <c r="F37" s="688">
        <v>8</v>
      </c>
      <c r="G37" s="688"/>
      <c r="H37" s="689">
        <v>8</v>
      </c>
      <c r="I37" s="688">
        <v>350</v>
      </c>
      <c r="J37" s="688">
        <v>4</v>
      </c>
      <c r="K37" s="688">
        <v>2585</v>
      </c>
      <c r="L37" s="688">
        <v>20</v>
      </c>
      <c r="M37" s="686">
        <f t="shared" si="5"/>
        <v>2935</v>
      </c>
      <c r="N37" s="686">
        <f t="shared" si="6"/>
        <v>24</v>
      </c>
      <c r="O37" s="686">
        <f t="shared" si="7"/>
        <v>72</v>
      </c>
      <c r="P37" s="686">
        <f t="shared" si="8"/>
        <v>72</v>
      </c>
      <c r="Q37" s="688"/>
      <c r="R37" s="688">
        <v>2</v>
      </c>
      <c r="S37" s="688"/>
      <c r="T37" s="686">
        <f>R37</f>
        <v>2</v>
      </c>
      <c r="U37" s="683">
        <v>420</v>
      </c>
      <c r="V37" s="683">
        <v>8</v>
      </c>
      <c r="W37" s="681">
        <v>655</v>
      </c>
      <c r="X37" s="681">
        <v>21</v>
      </c>
      <c r="Y37" s="681">
        <v>1</v>
      </c>
      <c r="Z37" s="681">
        <v>1</v>
      </c>
      <c r="AA37" s="681">
        <f t="shared" si="3"/>
        <v>3</v>
      </c>
      <c r="AB37" s="681">
        <f t="shared" si="4"/>
        <v>3</v>
      </c>
      <c r="AC37" s="709">
        <v>421.626</v>
      </c>
      <c r="AD37" s="709">
        <v>3.92961957017081</v>
      </c>
    </row>
    <row r="38" spans="1:30" s="667" customFormat="1" ht="17.25" customHeight="1">
      <c r="A38" s="681">
        <v>32</v>
      </c>
      <c r="B38" s="685" t="s">
        <v>438</v>
      </c>
      <c r="C38" s="688" t="s">
        <v>150</v>
      </c>
      <c r="D38" s="688"/>
      <c r="E38" s="688"/>
      <c r="F38" s="688">
        <v>10</v>
      </c>
      <c r="G38" s="688"/>
      <c r="H38" s="689">
        <f aca="true" t="shared" si="9" ref="H38:H60">F38+G38</f>
        <v>10</v>
      </c>
      <c r="I38" s="688">
        <v>2715</v>
      </c>
      <c r="J38" s="688">
        <v>14</v>
      </c>
      <c r="K38" s="688">
        <f>9635+250</f>
        <v>9885</v>
      </c>
      <c r="L38" s="688">
        <v>34</v>
      </c>
      <c r="M38" s="686">
        <f t="shared" si="5"/>
        <v>12600</v>
      </c>
      <c r="N38" s="686">
        <f t="shared" si="6"/>
        <v>48</v>
      </c>
      <c r="O38" s="686">
        <f t="shared" si="7"/>
        <v>144</v>
      </c>
      <c r="P38" s="686">
        <f t="shared" si="8"/>
        <v>144</v>
      </c>
      <c r="Q38" s="688"/>
      <c r="R38" s="688">
        <v>2</v>
      </c>
      <c r="S38" s="688"/>
      <c r="T38" s="686">
        <f>R38</f>
        <v>2</v>
      </c>
      <c r="U38" s="688"/>
      <c r="V38" s="688"/>
      <c r="W38" s="681"/>
      <c r="X38" s="681"/>
      <c r="Y38" s="681"/>
      <c r="Z38" s="681">
        <v>1</v>
      </c>
      <c r="AA38" s="681">
        <f t="shared" si="3"/>
        <v>3</v>
      </c>
      <c r="AB38" s="681">
        <f t="shared" si="4"/>
        <v>3</v>
      </c>
      <c r="AC38" s="709">
        <v>946.2324</v>
      </c>
      <c r="AD38" s="709">
        <v>3.8702139937094127</v>
      </c>
    </row>
    <row r="39" spans="1:30" s="669" customFormat="1" ht="17.25" customHeight="1">
      <c r="A39" s="681">
        <v>33</v>
      </c>
      <c r="B39" s="685" t="s">
        <v>439</v>
      </c>
      <c r="C39" s="683"/>
      <c r="D39" s="683" t="s">
        <v>150</v>
      </c>
      <c r="E39" s="684"/>
      <c r="F39" s="683">
        <v>210.8</v>
      </c>
      <c r="G39" s="683">
        <v>13.5</v>
      </c>
      <c r="H39" s="681">
        <f t="shared" si="9"/>
        <v>224.3</v>
      </c>
      <c r="I39" s="683">
        <v>745</v>
      </c>
      <c r="J39" s="683">
        <v>73</v>
      </c>
      <c r="K39" s="683">
        <v>13000</v>
      </c>
      <c r="L39" s="683">
        <v>51</v>
      </c>
      <c r="M39" s="681">
        <f aca="true" t="shared" si="10" ref="M39:N60">I39+K39</f>
        <v>13745</v>
      </c>
      <c r="N39" s="681">
        <f t="shared" si="10"/>
        <v>124</v>
      </c>
      <c r="O39" s="681">
        <v>372</v>
      </c>
      <c r="P39" s="681">
        <v>376</v>
      </c>
      <c r="Q39" s="683"/>
      <c r="R39" s="681">
        <v>3</v>
      </c>
      <c r="S39" s="683"/>
      <c r="T39" s="681">
        <f aca="true" t="shared" si="11" ref="T39:T60">Q39+R39+S39</f>
        <v>3</v>
      </c>
      <c r="U39" s="683">
        <v>2400</v>
      </c>
      <c r="V39" s="683">
        <v>18</v>
      </c>
      <c r="W39" s="681">
        <v>1111</v>
      </c>
      <c r="X39" s="681">
        <v>73</v>
      </c>
      <c r="Y39" s="681">
        <v>2</v>
      </c>
      <c r="Z39" s="681">
        <v>2</v>
      </c>
      <c r="AA39" s="681">
        <f t="shared" si="3"/>
        <v>6</v>
      </c>
      <c r="AB39" s="681">
        <f t="shared" si="4"/>
        <v>6</v>
      </c>
      <c r="AC39" s="709">
        <v>734.6844</v>
      </c>
      <c r="AD39" s="709">
        <v>3.7867469879518127</v>
      </c>
    </row>
    <row r="40" spans="1:30" s="669" customFormat="1" ht="17.25" customHeight="1">
      <c r="A40" s="681">
        <v>34</v>
      </c>
      <c r="B40" s="684" t="s">
        <v>440</v>
      </c>
      <c r="C40" s="683"/>
      <c r="D40" s="683"/>
      <c r="E40" s="684" t="s">
        <v>150</v>
      </c>
      <c r="F40" s="683"/>
      <c r="G40" s="683">
        <v>37.7</v>
      </c>
      <c r="H40" s="681">
        <f t="shared" si="9"/>
        <v>37.7</v>
      </c>
      <c r="I40" s="683"/>
      <c r="J40" s="683"/>
      <c r="K40" s="683">
        <v>6205</v>
      </c>
      <c r="L40" s="683">
        <v>78</v>
      </c>
      <c r="M40" s="681">
        <f t="shared" si="10"/>
        <v>6205</v>
      </c>
      <c r="N40" s="681">
        <f t="shared" si="10"/>
        <v>78</v>
      </c>
      <c r="O40" s="681">
        <v>234</v>
      </c>
      <c r="P40" s="681">
        <v>240</v>
      </c>
      <c r="Q40" s="683"/>
      <c r="R40" s="681">
        <v>2</v>
      </c>
      <c r="S40" s="683"/>
      <c r="T40" s="681">
        <f t="shared" si="11"/>
        <v>2</v>
      </c>
      <c r="U40" s="683"/>
      <c r="V40" s="683"/>
      <c r="W40" s="681"/>
      <c r="X40" s="681">
        <v>1</v>
      </c>
      <c r="Y40" s="681">
        <v>1</v>
      </c>
      <c r="Z40" s="681">
        <v>1</v>
      </c>
      <c r="AA40" s="681">
        <f t="shared" si="3"/>
        <v>3</v>
      </c>
      <c r="AB40" s="681">
        <f t="shared" si="4"/>
        <v>3</v>
      </c>
      <c r="AC40" s="709">
        <v>686.988</v>
      </c>
      <c r="AD40" s="709">
        <v>0</v>
      </c>
    </row>
    <row r="41" spans="1:30" s="669" customFormat="1" ht="17.25" customHeight="1">
      <c r="A41" s="681">
        <v>35</v>
      </c>
      <c r="B41" s="685" t="s">
        <v>441</v>
      </c>
      <c r="C41" s="683"/>
      <c r="D41" s="683"/>
      <c r="E41" s="684" t="s">
        <v>150</v>
      </c>
      <c r="F41" s="683"/>
      <c r="G41" s="683">
        <v>59.2</v>
      </c>
      <c r="H41" s="681">
        <f t="shared" si="9"/>
        <v>59.2</v>
      </c>
      <c r="I41" s="683"/>
      <c r="J41" s="683"/>
      <c r="K41" s="683">
        <v>17405</v>
      </c>
      <c r="L41" s="683">
        <v>81</v>
      </c>
      <c r="M41" s="681">
        <f t="shared" si="10"/>
        <v>17405</v>
      </c>
      <c r="N41" s="681">
        <f t="shared" si="10"/>
        <v>81</v>
      </c>
      <c r="O41" s="681">
        <v>486</v>
      </c>
      <c r="P41" s="681">
        <v>486</v>
      </c>
      <c r="Q41" s="683"/>
      <c r="R41" s="681">
        <v>3</v>
      </c>
      <c r="S41" s="683"/>
      <c r="T41" s="681">
        <f t="shared" si="11"/>
        <v>3</v>
      </c>
      <c r="U41" s="683">
        <v>300</v>
      </c>
      <c r="V41" s="683">
        <v>2</v>
      </c>
      <c r="W41" s="681"/>
      <c r="X41" s="681">
        <v>1</v>
      </c>
      <c r="Y41" s="681">
        <v>1</v>
      </c>
      <c r="Z41" s="681">
        <v>1</v>
      </c>
      <c r="AA41" s="681">
        <f t="shared" si="3"/>
        <v>3</v>
      </c>
      <c r="AB41" s="681">
        <f t="shared" si="4"/>
        <v>3</v>
      </c>
      <c r="AC41" s="709">
        <v>1840.4</v>
      </c>
      <c r="AD41" s="709">
        <v>0</v>
      </c>
    </row>
    <row r="42" spans="1:30" s="669" customFormat="1" ht="17.25" customHeight="1">
      <c r="A42" s="681">
        <v>36</v>
      </c>
      <c r="B42" s="684" t="s">
        <v>442</v>
      </c>
      <c r="C42" s="683"/>
      <c r="D42" s="683"/>
      <c r="E42" s="684" t="s">
        <v>150</v>
      </c>
      <c r="F42" s="683"/>
      <c r="G42" s="683">
        <v>79.8</v>
      </c>
      <c r="H42" s="681">
        <f t="shared" si="9"/>
        <v>79.8</v>
      </c>
      <c r="I42" s="683"/>
      <c r="J42" s="683"/>
      <c r="K42" s="683">
        <v>3740</v>
      </c>
      <c r="L42" s="683">
        <v>47</v>
      </c>
      <c r="M42" s="681">
        <f t="shared" si="10"/>
        <v>3740</v>
      </c>
      <c r="N42" s="681">
        <f t="shared" si="10"/>
        <v>47</v>
      </c>
      <c r="O42" s="681">
        <v>141</v>
      </c>
      <c r="P42" s="681">
        <v>147</v>
      </c>
      <c r="Q42" s="683"/>
      <c r="R42" s="681">
        <v>2</v>
      </c>
      <c r="S42" s="683"/>
      <c r="T42" s="681">
        <f t="shared" si="11"/>
        <v>2</v>
      </c>
      <c r="U42" s="683">
        <v>300</v>
      </c>
      <c r="V42" s="683">
        <v>2</v>
      </c>
      <c r="W42" s="681"/>
      <c r="X42" s="681">
        <v>1</v>
      </c>
      <c r="Y42" s="681">
        <v>1</v>
      </c>
      <c r="Z42" s="681">
        <v>1</v>
      </c>
      <c r="AA42" s="681">
        <f t="shared" si="3"/>
        <v>3</v>
      </c>
      <c r="AB42" s="681">
        <f t="shared" si="4"/>
        <v>3</v>
      </c>
      <c r="AC42" s="709">
        <v>1950.6</v>
      </c>
      <c r="AD42" s="709">
        <v>0</v>
      </c>
    </row>
    <row r="43" spans="1:30" s="669" customFormat="1" ht="17.25" customHeight="1">
      <c r="A43" s="681">
        <v>37</v>
      </c>
      <c r="B43" s="684" t="s">
        <v>443</v>
      </c>
      <c r="C43" s="683"/>
      <c r="D43" s="683"/>
      <c r="E43" s="684" t="s">
        <v>150</v>
      </c>
      <c r="F43" s="683"/>
      <c r="G43" s="683">
        <v>6.6</v>
      </c>
      <c r="H43" s="681">
        <f t="shared" si="9"/>
        <v>6.6</v>
      </c>
      <c r="I43" s="683"/>
      <c r="J43" s="683"/>
      <c r="K43" s="683">
        <v>910</v>
      </c>
      <c r="L43" s="683">
        <v>4</v>
      </c>
      <c r="M43" s="681">
        <f t="shared" si="10"/>
        <v>910</v>
      </c>
      <c r="N43" s="681">
        <f t="shared" si="10"/>
        <v>4</v>
      </c>
      <c r="O43" s="681">
        <v>12</v>
      </c>
      <c r="P43" s="681">
        <v>15</v>
      </c>
      <c r="Q43" s="683"/>
      <c r="R43" s="681">
        <v>1</v>
      </c>
      <c r="S43" s="683"/>
      <c r="T43" s="681">
        <f t="shared" si="11"/>
        <v>1</v>
      </c>
      <c r="U43" s="683">
        <v>300</v>
      </c>
      <c r="V43" s="683">
        <v>2</v>
      </c>
      <c r="W43" s="681"/>
      <c r="X43" s="681">
        <v>1</v>
      </c>
      <c r="Y43" s="681">
        <v>1</v>
      </c>
      <c r="Z43" s="681">
        <v>1</v>
      </c>
      <c r="AA43" s="681">
        <f t="shared" si="3"/>
        <v>3</v>
      </c>
      <c r="AB43" s="681">
        <f t="shared" si="4"/>
        <v>3</v>
      </c>
      <c r="AC43" s="709">
        <v>0</v>
      </c>
      <c r="AD43" s="709">
        <v>0</v>
      </c>
    </row>
    <row r="44" spans="1:30" s="669" customFormat="1" ht="17.25" customHeight="1">
      <c r="A44" s="681">
        <v>38</v>
      </c>
      <c r="B44" s="684" t="s">
        <v>444</v>
      </c>
      <c r="C44" s="683"/>
      <c r="D44" s="683"/>
      <c r="E44" s="684" t="s">
        <v>150</v>
      </c>
      <c r="F44" s="683"/>
      <c r="G44" s="683">
        <v>15.5</v>
      </c>
      <c r="H44" s="681">
        <f t="shared" si="9"/>
        <v>15.5</v>
      </c>
      <c r="I44" s="683"/>
      <c r="J44" s="683"/>
      <c r="K44" s="683">
        <v>2050</v>
      </c>
      <c r="L44" s="683">
        <v>17</v>
      </c>
      <c r="M44" s="681">
        <f t="shared" si="10"/>
        <v>2050</v>
      </c>
      <c r="N44" s="681">
        <f t="shared" si="10"/>
        <v>17</v>
      </c>
      <c r="O44" s="681">
        <v>51</v>
      </c>
      <c r="P44" s="681">
        <v>57</v>
      </c>
      <c r="Q44" s="683"/>
      <c r="R44" s="681">
        <v>2</v>
      </c>
      <c r="S44" s="683"/>
      <c r="T44" s="681">
        <f t="shared" si="11"/>
        <v>2</v>
      </c>
      <c r="U44" s="683">
        <v>500</v>
      </c>
      <c r="V44" s="683">
        <v>3</v>
      </c>
      <c r="W44" s="681"/>
      <c r="X44" s="681">
        <v>1</v>
      </c>
      <c r="Y44" s="681">
        <v>1</v>
      </c>
      <c r="Z44" s="681">
        <v>1</v>
      </c>
      <c r="AA44" s="681">
        <f t="shared" si="3"/>
        <v>3</v>
      </c>
      <c r="AB44" s="681">
        <f t="shared" si="4"/>
        <v>3</v>
      </c>
      <c r="AC44" s="709">
        <v>1425</v>
      </c>
      <c r="AD44" s="709">
        <v>0</v>
      </c>
    </row>
    <row r="45" spans="1:30" s="669" customFormat="1" ht="17.25" customHeight="1">
      <c r="A45" s="681">
        <v>39</v>
      </c>
      <c r="B45" s="684" t="s">
        <v>445</v>
      </c>
      <c r="C45" s="683"/>
      <c r="D45" s="683"/>
      <c r="E45" s="684" t="s">
        <v>150</v>
      </c>
      <c r="F45" s="683"/>
      <c r="G45" s="683">
        <v>18.8</v>
      </c>
      <c r="H45" s="681">
        <f t="shared" si="9"/>
        <v>18.8</v>
      </c>
      <c r="I45" s="683"/>
      <c r="J45" s="683"/>
      <c r="K45" s="683">
        <v>1350</v>
      </c>
      <c r="L45" s="683">
        <v>23</v>
      </c>
      <c r="M45" s="681">
        <f t="shared" si="10"/>
        <v>1350</v>
      </c>
      <c r="N45" s="681">
        <f t="shared" si="10"/>
        <v>23</v>
      </c>
      <c r="O45" s="681">
        <v>69</v>
      </c>
      <c r="P45" s="681">
        <v>75</v>
      </c>
      <c r="Q45" s="683"/>
      <c r="R45" s="681">
        <v>2</v>
      </c>
      <c r="S45" s="683"/>
      <c r="T45" s="681">
        <f t="shared" si="11"/>
        <v>2</v>
      </c>
      <c r="U45" s="683">
        <v>600</v>
      </c>
      <c r="V45" s="683">
        <v>6</v>
      </c>
      <c r="W45" s="681"/>
      <c r="X45" s="681">
        <v>1</v>
      </c>
      <c r="Y45" s="681">
        <v>1</v>
      </c>
      <c r="Z45" s="681">
        <v>1</v>
      </c>
      <c r="AA45" s="681">
        <f t="shared" si="3"/>
        <v>3</v>
      </c>
      <c r="AB45" s="681">
        <f t="shared" si="4"/>
        <v>3</v>
      </c>
      <c r="AC45" s="709">
        <v>1199.85</v>
      </c>
      <c r="AD45" s="709">
        <v>0</v>
      </c>
    </row>
    <row r="46" spans="1:30" s="669" customFormat="1" ht="17.25" customHeight="1">
      <c r="A46" s="681">
        <v>40</v>
      </c>
      <c r="B46" s="685" t="s">
        <v>446</v>
      </c>
      <c r="C46" s="683"/>
      <c r="D46" s="683" t="s">
        <v>150</v>
      </c>
      <c r="E46" s="684"/>
      <c r="F46" s="683">
        <v>182.2</v>
      </c>
      <c r="G46" s="683">
        <v>60.9</v>
      </c>
      <c r="H46" s="681">
        <f t="shared" si="9"/>
        <v>243.1</v>
      </c>
      <c r="I46" s="683">
        <v>1390.2</v>
      </c>
      <c r="J46" s="683">
        <v>60</v>
      </c>
      <c r="K46" s="683">
        <v>4985</v>
      </c>
      <c r="L46" s="683">
        <v>65</v>
      </c>
      <c r="M46" s="681">
        <f t="shared" si="10"/>
        <v>6375.2</v>
      </c>
      <c r="N46" s="681">
        <f t="shared" si="10"/>
        <v>125</v>
      </c>
      <c r="O46" s="681">
        <v>375</v>
      </c>
      <c r="P46" s="681">
        <v>375</v>
      </c>
      <c r="Q46" s="683"/>
      <c r="R46" s="681">
        <v>5</v>
      </c>
      <c r="S46" s="683"/>
      <c r="T46" s="681">
        <f t="shared" si="11"/>
        <v>5</v>
      </c>
      <c r="U46" s="683">
        <v>750</v>
      </c>
      <c r="V46" s="683">
        <v>5</v>
      </c>
      <c r="W46" s="681">
        <v>4</v>
      </c>
      <c r="X46" s="681">
        <v>99</v>
      </c>
      <c r="Y46" s="681">
        <v>15</v>
      </c>
      <c r="Z46" s="681">
        <v>3</v>
      </c>
      <c r="AA46" s="681">
        <f t="shared" si="3"/>
        <v>9</v>
      </c>
      <c r="AB46" s="681">
        <f t="shared" si="4"/>
        <v>9</v>
      </c>
      <c r="AC46" s="709">
        <v>1645.6098</v>
      </c>
      <c r="AD46" s="709">
        <v>6.540650258749546</v>
      </c>
    </row>
    <row r="47" spans="1:30" s="669" customFormat="1" ht="17.25" customHeight="1">
      <c r="A47" s="681">
        <v>41</v>
      </c>
      <c r="B47" s="684" t="s">
        <v>447</v>
      </c>
      <c r="C47" s="683"/>
      <c r="D47" s="683"/>
      <c r="E47" s="684" t="s">
        <v>150</v>
      </c>
      <c r="F47" s="683"/>
      <c r="G47" s="683">
        <v>12.4</v>
      </c>
      <c r="H47" s="681">
        <f t="shared" si="9"/>
        <v>12.4</v>
      </c>
      <c r="I47" s="683"/>
      <c r="J47" s="683"/>
      <c r="K47" s="683">
        <v>1390</v>
      </c>
      <c r="L47" s="683">
        <v>24</v>
      </c>
      <c r="M47" s="681">
        <f t="shared" si="10"/>
        <v>1390</v>
      </c>
      <c r="N47" s="681">
        <f t="shared" si="10"/>
        <v>24</v>
      </c>
      <c r="O47" s="681">
        <v>72</v>
      </c>
      <c r="P47" s="681">
        <v>75</v>
      </c>
      <c r="Q47" s="683">
        <v>1</v>
      </c>
      <c r="R47" s="681">
        <v>1</v>
      </c>
      <c r="S47" s="683"/>
      <c r="T47" s="681">
        <f t="shared" si="11"/>
        <v>2</v>
      </c>
      <c r="U47" s="683">
        <v>500</v>
      </c>
      <c r="V47" s="683">
        <v>3</v>
      </c>
      <c r="W47" s="681"/>
      <c r="X47" s="681">
        <v>1</v>
      </c>
      <c r="Y47" s="681">
        <v>1</v>
      </c>
      <c r="Z47" s="681">
        <v>1</v>
      </c>
      <c r="AA47" s="681">
        <f t="shared" si="3"/>
        <v>3</v>
      </c>
      <c r="AB47" s="681">
        <f t="shared" si="4"/>
        <v>3</v>
      </c>
      <c r="AC47" s="709">
        <v>692</v>
      </c>
      <c r="AD47" s="709">
        <v>0</v>
      </c>
    </row>
    <row r="48" spans="1:30" s="669" customFormat="1" ht="17.25" customHeight="1">
      <c r="A48" s="681">
        <v>42</v>
      </c>
      <c r="B48" s="684" t="s">
        <v>448</v>
      </c>
      <c r="C48" s="683"/>
      <c r="D48" s="683"/>
      <c r="E48" s="684" t="s">
        <v>150</v>
      </c>
      <c r="F48" s="683"/>
      <c r="G48" s="683">
        <v>35</v>
      </c>
      <c r="H48" s="681">
        <f t="shared" si="9"/>
        <v>35</v>
      </c>
      <c r="I48" s="683"/>
      <c r="J48" s="683"/>
      <c r="K48" s="683">
        <v>2670</v>
      </c>
      <c r="L48" s="683">
        <v>30</v>
      </c>
      <c r="M48" s="681">
        <f t="shared" si="10"/>
        <v>2670</v>
      </c>
      <c r="N48" s="681">
        <f t="shared" si="10"/>
        <v>30</v>
      </c>
      <c r="O48" s="681">
        <v>90</v>
      </c>
      <c r="P48" s="681">
        <v>90</v>
      </c>
      <c r="Q48" s="683">
        <v>2</v>
      </c>
      <c r="R48" s="681"/>
      <c r="S48" s="683"/>
      <c r="T48" s="681">
        <f t="shared" si="11"/>
        <v>2</v>
      </c>
      <c r="U48" s="683">
        <v>600</v>
      </c>
      <c r="V48" s="683">
        <v>6</v>
      </c>
      <c r="W48" s="681"/>
      <c r="X48" s="681">
        <v>1</v>
      </c>
      <c r="Y48" s="681">
        <v>1</v>
      </c>
      <c r="Z48" s="681">
        <v>1</v>
      </c>
      <c r="AA48" s="681">
        <f t="shared" si="3"/>
        <v>3</v>
      </c>
      <c r="AB48" s="681">
        <f t="shared" si="4"/>
        <v>3</v>
      </c>
      <c r="AC48" s="709">
        <v>1104.8</v>
      </c>
      <c r="AD48" s="709">
        <v>0</v>
      </c>
    </row>
    <row r="49" spans="1:30" s="669" customFormat="1" ht="17.25" customHeight="1">
      <c r="A49" s="681">
        <v>43</v>
      </c>
      <c r="B49" s="685" t="s">
        <v>449</v>
      </c>
      <c r="C49" s="683"/>
      <c r="D49" s="690" t="s">
        <v>150</v>
      </c>
      <c r="E49" s="684"/>
      <c r="F49" s="683">
        <v>16.3</v>
      </c>
      <c r="G49" s="683">
        <v>8.3</v>
      </c>
      <c r="H49" s="681">
        <f t="shared" si="9"/>
        <v>24.6</v>
      </c>
      <c r="I49" s="683">
        <v>500</v>
      </c>
      <c r="J49" s="683">
        <v>18</v>
      </c>
      <c r="K49" s="683">
        <v>740</v>
      </c>
      <c r="L49" s="683">
        <v>9</v>
      </c>
      <c r="M49" s="681">
        <f t="shared" si="10"/>
        <v>1240</v>
      </c>
      <c r="N49" s="681">
        <f t="shared" si="10"/>
        <v>27</v>
      </c>
      <c r="O49" s="681">
        <v>71</v>
      </c>
      <c r="P49" s="681">
        <v>84</v>
      </c>
      <c r="Q49" s="683"/>
      <c r="R49" s="681">
        <v>2</v>
      </c>
      <c r="S49" s="683"/>
      <c r="T49" s="681">
        <f t="shared" si="11"/>
        <v>2</v>
      </c>
      <c r="U49" s="683"/>
      <c r="V49" s="683"/>
      <c r="W49" s="681"/>
      <c r="X49" s="681">
        <v>1</v>
      </c>
      <c r="Y49" s="681">
        <v>1</v>
      </c>
      <c r="Z49" s="681">
        <v>1</v>
      </c>
      <c r="AA49" s="681">
        <f t="shared" si="3"/>
        <v>3</v>
      </c>
      <c r="AB49" s="681">
        <f t="shared" si="4"/>
        <v>3</v>
      </c>
      <c r="AC49" s="709">
        <v>194.0311</v>
      </c>
      <c r="AD49" s="709">
        <v>22.881120826709058</v>
      </c>
    </row>
    <row r="50" spans="1:30" s="669" customFormat="1" ht="17.25" customHeight="1">
      <c r="A50" s="681">
        <v>44</v>
      </c>
      <c r="B50" s="684" t="s">
        <v>450</v>
      </c>
      <c r="C50" s="683"/>
      <c r="E50" s="683" t="s">
        <v>150</v>
      </c>
      <c r="F50" s="683"/>
      <c r="G50" s="683">
        <v>12</v>
      </c>
      <c r="H50" s="681">
        <f t="shared" si="9"/>
        <v>12</v>
      </c>
      <c r="I50" s="683"/>
      <c r="J50" s="683"/>
      <c r="K50" s="683">
        <v>6000</v>
      </c>
      <c r="L50" s="683">
        <v>6</v>
      </c>
      <c r="M50" s="681">
        <f t="shared" si="10"/>
        <v>6000</v>
      </c>
      <c r="N50" s="681">
        <f t="shared" si="10"/>
        <v>6</v>
      </c>
      <c r="O50" s="681">
        <v>18</v>
      </c>
      <c r="P50" s="681">
        <v>21</v>
      </c>
      <c r="Q50" s="683"/>
      <c r="R50" s="681">
        <v>1</v>
      </c>
      <c r="S50" s="683"/>
      <c r="T50" s="681">
        <f t="shared" si="11"/>
        <v>1</v>
      </c>
      <c r="U50" s="683"/>
      <c r="V50" s="683"/>
      <c r="W50" s="681"/>
      <c r="X50" s="681">
        <v>32</v>
      </c>
      <c r="Y50" s="681">
        <v>26</v>
      </c>
      <c r="Z50" s="681">
        <v>6</v>
      </c>
      <c r="AA50" s="681">
        <f t="shared" si="3"/>
        <v>18</v>
      </c>
      <c r="AB50" s="681">
        <f t="shared" si="4"/>
        <v>18</v>
      </c>
      <c r="AC50" s="709">
        <v>199.07350000000002</v>
      </c>
      <c r="AD50" s="709">
        <v>0</v>
      </c>
    </row>
    <row r="51" spans="1:30" s="669" customFormat="1" ht="17.25" customHeight="1">
      <c r="A51" s="681">
        <v>45</v>
      </c>
      <c r="B51" s="684" t="s">
        <v>451</v>
      </c>
      <c r="C51" s="683" t="s">
        <v>150</v>
      </c>
      <c r="D51" s="683"/>
      <c r="E51" s="684"/>
      <c r="F51" s="683">
        <v>17.85</v>
      </c>
      <c r="G51" s="683"/>
      <c r="H51" s="681">
        <f t="shared" si="9"/>
        <v>17.85</v>
      </c>
      <c r="I51" s="683">
        <v>325</v>
      </c>
      <c r="J51" s="683">
        <v>2</v>
      </c>
      <c r="K51" s="683">
        <v>7085</v>
      </c>
      <c r="L51" s="683">
        <v>21</v>
      </c>
      <c r="M51" s="681">
        <f t="shared" si="10"/>
        <v>7410</v>
      </c>
      <c r="N51" s="681">
        <f t="shared" si="10"/>
        <v>23</v>
      </c>
      <c r="O51" s="681">
        <v>69</v>
      </c>
      <c r="P51" s="681">
        <v>72</v>
      </c>
      <c r="Q51" s="683"/>
      <c r="R51" s="681">
        <v>1</v>
      </c>
      <c r="S51" s="683"/>
      <c r="T51" s="681">
        <f t="shared" si="11"/>
        <v>1</v>
      </c>
      <c r="U51" s="683"/>
      <c r="V51" s="683"/>
      <c r="W51" s="681"/>
      <c r="X51" s="681">
        <v>23</v>
      </c>
      <c r="Y51" s="681">
        <v>23</v>
      </c>
      <c r="Z51" s="681">
        <v>7</v>
      </c>
      <c r="AA51" s="681">
        <f t="shared" si="3"/>
        <v>21</v>
      </c>
      <c r="AB51" s="681">
        <f t="shared" si="4"/>
        <v>21</v>
      </c>
      <c r="AC51" s="709">
        <v>634.4129</v>
      </c>
      <c r="AD51" s="709">
        <v>5.0564351990422045</v>
      </c>
    </row>
    <row r="52" spans="1:30" s="669" customFormat="1" ht="17.25" customHeight="1">
      <c r="A52" s="681">
        <v>46</v>
      </c>
      <c r="B52" s="684" t="s">
        <v>452</v>
      </c>
      <c r="C52" s="683"/>
      <c r="D52" s="683"/>
      <c r="E52" s="684" t="s">
        <v>150</v>
      </c>
      <c r="F52" s="683"/>
      <c r="G52" s="683">
        <v>17.85</v>
      </c>
      <c r="H52" s="681">
        <f t="shared" si="9"/>
        <v>17.85</v>
      </c>
      <c r="I52" s="683"/>
      <c r="J52" s="683"/>
      <c r="K52" s="683">
        <v>2310</v>
      </c>
      <c r="L52" s="683">
        <v>10</v>
      </c>
      <c r="M52" s="681">
        <f t="shared" si="10"/>
        <v>2310</v>
      </c>
      <c r="N52" s="681">
        <f t="shared" si="10"/>
        <v>10</v>
      </c>
      <c r="O52" s="681">
        <v>30</v>
      </c>
      <c r="P52" s="681">
        <v>33</v>
      </c>
      <c r="Q52" s="683"/>
      <c r="R52" s="681">
        <v>1</v>
      </c>
      <c r="S52" s="683"/>
      <c r="T52" s="681">
        <f t="shared" si="11"/>
        <v>1</v>
      </c>
      <c r="U52" s="683"/>
      <c r="V52" s="683"/>
      <c r="W52" s="681"/>
      <c r="X52" s="681">
        <v>4</v>
      </c>
      <c r="Y52" s="681">
        <v>4</v>
      </c>
      <c r="Z52" s="681">
        <v>1</v>
      </c>
      <c r="AA52" s="681">
        <f t="shared" si="3"/>
        <v>3</v>
      </c>
      <c r="AB52" s="681">
        <f t="shared" si="4"/>
        <v>3</v>
      </c>
      <c r="AC52" s="709">
        <v>366.6173</v>
      </c>
      <c r="AD52" s="709">
        <v>0</v>
      </c>
    </row>
    <row r="53" spans="1:30" s="669" customFormat="1" ht="17.25" customHeight="1">
      <c r="A53" s="681">
        <v>47</v>
      </c>
      <c r="B53" s="684" t="s">
        <v>453</v>
      </c>
      <c r="C53" s="683"/>
      <c r="D53" s="683" t="s">
        <v>150</v>
      </c>
      <c r="E53" s="684"/>
      <c r="F53" s="683">
        <v>23.2</v>
      </c>
      <c r="G53" s="683">
        <v>10.3</v>
      </c>
      <c r="H53" s="681">
        <f t="shared" si="9"/>
        <v>33.5</v>
      </c>
      <c r="I53" s="683">
        <v>1720</v>
      </c>
      <c r="J53" s="683">
        <v>18</v>
      </c>
      <c r="K53" s="683">
        <v>7805</v>
      </c>
      <c r="L53" s="683">
        <v>64</v>
      </c>
      <c r="M53" s="681">
        <f t="shared" si="10"/>
        <v>9525</v>
      </c>
      <c r="N53" s="681">
        <f t="shared" si="10"/>
        <v>82</v>
      </c>
      <c r="O53" s="681">
        <v>246</v>
      </c>
      <c r="P53" s="681">
        <v>252</v>
      </c>
      <c r="Q53" s="683"/>
      <c r="R53" s="681">
        <v>2</v>
      </c>
      <c r="S53" s="683"/>
      <c r="T53" s="681">
        <f t="shared" si="11"/>
        <v>2</v>
      </c>
      <c r="U53" s="683"/>
      <c r="V53" s="683"/>
      <c r="W53" s="681"/>
      <c r="X53" s="681">
        <v>94</v>
      </c>
      <c r="Y53" s="681">
        <v>19</v>
      </c>
      <c r="Z53" s="681">
        <v>11</v>
      </c>
      <c r="AA53" s="681">
        <f t="shared" si="3"/>
        <v>33</v>
      </c>
      <c r="AB53" s="681">
        <f t="shared" si="4"/>
        <v>33</v>
      </c>
      <c r="AC53" s="709">
        <v>686.9584</v>
      </c>
      <c r="AD53" s="709">
        <v>8.915619199151427</v>
      </c>
    </row>
    <row r="54" spans="1:30" s="669" customFormat="1" ht="17.25" customHeight="1">
      <c r="A54" s="681">
        <v>48</v>
      </c>
      <c r="B54" s="684" t="s">
        <v>454</v>
      </c>
      <c r="C54" s="683"/>
      <c r="D54" s="683"/>
      <c r="E54" s="684" t="s">
        <v>150</v>
      </c>
      <c r="F54" s="683"/>
      <c r="G54" s="683">
        <v>5.898</v>
      </c>
      <c r="H54" s="681">
        <f t="shared" si="9"/>
        <v>5.898</v>
      </c>
      <c r="I54" s="683"/>
      <c r="J54" s="683"/>
      <c r="K54" s="683">
        <v>1160</v>
      </c>
      <c r="L54" s="683">
        <v>13</v>
      </c>
      <c r="M54" s="681">
        <f t="shared" si="10"/>
        <v>1160</v>
      </c>
      <c r="N54" s="681">
        <f t="shared" si="10"/>
        <v>13</v>
      </c>
      <c r="O54" s="681">
        <v>39</v>
      </c>
      <c r="P54" s="681">
        <v>42</v>
      </c>
      <c r="Q54" s="683"/>
      <c r="R54" s="681">
        <v>1</v>
      </c>
      <c r="S54" s="683"/>
      <c r="T54" s="681">
        <f t="shared" si="11"/>
        <v>1</v>
      </c>
      <c r="U54" s="683"/>
      <c r="V54" s="683"/>
      <c r="W54" s="681"/>
      <c r="X54" s="681">
        <v>38</v>
      </c>
      <c r="Y54" s="681">
        <v>26</v>
      </c>
      <c r="Z54" s="681"/>
      <c r="AA54" s="681">
        <f t="shared" si="3"/>
        <v>0</v>
      </c>
      <c r="AB54" s="681">
        <f t="shared" si="4"/>
        <v>0</v>
      </c>
      <c r="AC54" s="709">
        <v>62.5309</v>
      </c>
      <c r="AD54" s="709">
        <v>0</v>
      </c>
    </row>
    <row r="55" spans="1:30" s="669" customFormat="1" ht="17.25" customHeight="1">
      <c r="A55" s="681">
        <v>49</v>
      </c>
      <c r="B55" s="684" t="s">
        <v>455</v>
      </c>
      <c r="C55" s="683"/>
      <c r="D55" s="683"/>
      <c r="E55" s="684" t="s">
        <v>150</v>
      </c>
      <c r="F55" s="683"/>
      <c r="G55" s="683">
        <v>57.5</v>
      </c>
      <c r="H55" s="681">
        <f t="shared" si="9"/>
        <v>57.5</v>
      </c>
      <c r="I55" s="683"/>
      <c r="J55" s="683"/>
      <c r="K55" s="683">
        <v>5485</v>
      </c>
      <c r="L55" s="683">
        <v>55</v>
      </c>
      <c r="M55" s="681">
        <f t="shared" si="10"/>
        <v>5485</v>
      </c>
      <c r="N55" s="681">
        <f t="shared" si="10"/>
        <v>55</v>
      </c>
      <c r="O55" s="681">
        <v>165</v>
      </c>
      <c r="P55" s="681">
        <v>168</v>
      </c>
      <c r="Q55" s="683"/>
      <c r="R55" s="681">
        <v>1</v>
      </c>
      <c r="S55" s="683"/>
      <c r="T55" s="681">
        <f t="shared" si="11"/>
        <v>1</v>
      </c>
      <c r="U55" s="683"/>
      <c r="V55" s="683"/>
      <c r="W55" s="681"/>
      <c r="X55" s="681">
        <v>108</v>
      </c>
      <c r="Y55" s="681">
        <v>83</v>
      </c>
      <c r="Z55" s="681">
        <v>1</v>
      </c>
      <c r="AA55" s="681">
        <f t="shared" si="3"/>
        <v>3</v>
      </c>
      <c r="AB55" s="681">
        <f t="shared" si="4"/>
        <v>3</v>
      </c>
      <c r="AC55" s="709">
        <v>1128.3758</v>
      </c>
      <c r="AD55" s="709">
        <v>0</v>
      </c>
    </row>
    <row r="56" spans="1:30" s="669" customFormat="1" ht="17.25" customHeight="1">
      <c r="A56" s="681">
        <v>50</v>
      </c>
      <c r="B56" s="684" t="s">
        <v>456</v>
      </c>
      <c r="C56" s="683"/>
      <c r="D56" s="683" t="s">
        <v>150</v>
      </c>
      <c r="E56" s="684"/>
      <c r="F56" s="683">
        <v>67.12</v>
      </c>
      <c r="G56" s="683">
        <v>0.85</v>
      </c>
      <c r="H56" s="681">
        <f t="shared" si="9"/>
        <v>67.97</v>
      </c>
      <c r="I56" s="683">
        <v>1012</v>
      </c>
      <c r="J56" s="683">
        <v>27</v>
      </c>
      <c r="K56" s="683">
        <v>860</v>
      </c>
      <c r="L56" s="683">
        <v>14</v>
      </c>
      <c r="M56" s="681">
        <f t="shared" si="10"/>
        <v>1872</v>
      </c>
      <c r="N56" s="681">
        <f t="shared" si="10"/>
        <v>41</v>
      </c>
      <c r="O56" s="681">
        <v>123</v>
      </c>
      <c r="P56" s="681">
        <v>126</v>
      </c>
      <c r="Q56" s="683"/>
      <c r="R56" s="681">
        <v>1</v>
      </c>
      <c r="S56" s="683"/>
      <c r="T56" s="681">
        <f t="shared" si="11"/>
        <v>1</v>
      </c>
      <c r="U56" s="683">
        <v>300</v>
      </c>
      <c r="V56" s="683">
        <v>2</v>
      </c>
      <c r="W56" s="681">
        <v>3</v>
      </c>
      <c r="X56" s="681">
        <v>87</v>
      </c>
      <c r="Y56" s="681"/>
      <c r="Z56" s="681">
        <v>1</v>
      </c>
      <c r="AA56" s="681">
        <f t="shared" si="3"/>
        <v>3</v>
      </c>
      <c r="AB56" s="681">
        <f t="shared" si="4"/>
        <v>3</v>
      </c>
      <c r="AC56" s="709">
        <v>170.0674</v>
      </c>
      <c r="AD56" s="709">
        <v>10.866142557652001</v>
      </c>
    </row>
    <row r="57" spans="1:30" s="669" customFormat="1" ht="17.25" customHeight="1">
      <c r="A57" s="681">
        <v>51</v>
      </c>
      <c r="B57" s="684" t="s">
        <v>457</v>
      </c>
      <c r="C57" s="683"/>
      <c r="D57" s="683" t="s">
        <v>150</v>
      </c>
      <c r="E57" s="684"/>
      <c r="F57" s="683">
        <v>102.22</v>
      </c>
      <c r="G57" s="683">
        <v>0.65</v>
      </c>
      <c r="H57" s="681">
        <f t="shared" si="9"/>
        <v>102.87</v>
      </c>
      <c r="I57" s="683">
        <v>1471</v>
      </c>
      <c r="J57" s="683">
        <v>64</v>
      </c>
      <c r="K57" s="683">
        <v>400</v>
      </c>
      <c r="L57" s="683">
        <v>14</v>
      </c>
      <c r="M57" s="681">
        <f t="shared" si="10"/>
        <v>1871</v>
      </c>
      <c r="N57" s="681">
        <f t="shared" si="10"/>
        <v>78</v>
      </c>
      <c r="O57" s="681">
        <v>234</v>
      </c>
      <c r="P57" s="681">
        <v>240</v>
      </c>
      <c r="Q57" s="683"/>
      <c r="R57" s="681">
        <v>2</v>
      </c>
      <c r="S57" s="683"/>
      <c r="T57" s="681">
        <f t="shared" si="11"/>
        <v>2</v>
      </c>
      <c r="U57" s="683">
        <v>300</v>
      </c>
      <c r="V57" s="683">
        <v>2</v>
      </c>
      <c r="W57" s="681">
        <v>3</v>
      </c>
      <c r="X57" s="681">
        <v>66</v>
      </c>
      <c r="Y57" s="681"/>
      <c r="Z57" s="681"/>
      <c r="AA57" s="681">
        <f t="shared" si="3"/>
        <v>0</v>
      </c>
      <c r="AB57" s="681">
        <f t="shared" si="4"/>
        <v>0</v>
      </c>
      <c r="AC57" s="709">
        <v>229.0723</v>
      </c>
      <c r="AD57" s="709">
        <v>10.797390965732086</v>
      </c>
    </row>
    <row r="58" spans="1:30" s="669" customFormat="1" ht="17.25" customHeight="1">
      <c r="A58" s="681">
        <v>52</v>
      </c>
      <c r="B58" s="685" t="s">
        <v>458</v>
      </c>
      <c r="C58" s="683"/>
      <c r="D58" s="683"/>
      <c r="E58" s="684" t="s">
        <v>150</v>
      </c>
      <c r="F58" s="683"/>
      <c r="G58" s="688">
        <v>76.2</v>
      </c>
      <c r="H58" s="681">
        <f t="shared" si="9"/>
        <v>76.2</v>
      </c>
      <c r="I58" s="683"/>
      <c r="J58" s="683"/>
      <c r="K58" s="688">
        <v>3100</v>
      </c>
      <c r="L58" s="683">
        <v>51</v>
      </c>
      <c r="M58" s="681">
        <f t="shared" si="10"/>
        <v>3100</v>
      </c>
      <c r="N58" s="681">
        <f t="shared" si="10"/>
        <v>51</v>
      </c>
      <c r="O58" s="681">
        <v>135</v>
      </c>
      <c r="P58" s="681">
        <v>153</v>
      </c>
      <c r="Q58" s="683"/>
      <c r="R58" s="681">
        <v>6</v>
      </c>
      <c r="S58" s="683"/>
      <c r="T58" s="681">
        <f t="shared" si="11"/>
        <v>6</v>
      </c>
      <c r="U58" s="683"/>
      <c r="V58" s="683"/>
      <c r="W58" s="681"/>
      <c r="X58" s="681">
        <v>1</v>
      </c>
      <c r="Y58" s="681">
        <v>1</v>
      </c>
      <c r="Z58" s="681">
        <v>1</v>
      </c>
      <c r="AA58" s="681">
        <f t="shared" si="3"/>
        <v>3</v>
      </c>
      <c r="AB58" s="681">
        <f t="shared" si="4"/>
        <v>3</v>
      </c>
      <c r="AC58" s="709">
        <v>945.4</v>
      </c>
      <c r="AD58" s="681">
        <v>0</v>
      </c>
    </row>
    <row r="59" spans="1:30" s="669" customFormat="1" ht="17.25" customHeight="1">
      <c r="A59" s="681">
        <v>53</v>
      </c>
      <c r="B59" s="685" t="s">
        <v>459</v>
      </c>
      <c r="C59" s="683"/>
      <c r="D59" s="683"/>
      <c r="E59" s="684" t="s">
        <v>150</v>
      </c>
      <c r="F59" s="683"/>
      <c r="G59" s="688">
        <v>33</v>
      </c>
      <c r="H59" s="681">
        <f t="shared" si="9"/>
        <v>33</v>
      </c>
      <c r="I59" s="683"/>
      <c r="J59" s="683"/>
      <c r="K59" s="688">
        <v>2560</v>
      </c>
      <c r="L59" s="683">
        <v>26</v>
      </c>
      <c r="M59" s="681">
        <f t="shared" si="10"/>
        <v>2560</v>
      </c>
      <c r="N59" s="681">
        <f t="shared" si="10"/>
        <v>26</v>
      </c>
      <c r="O59" s="681">
        <v>60</v>
      </c>
      <c r="P59" s="681">
        <v>72</v>
      </c>
      <c r="Q59" s="683"/>
      <c r="R59" s="681">
        <v>4</v>
      </c>
      <c r="S59" s="683"/>
      <c r="T59" s="681">
        <f t="shared" si="11"/>
        <v>4</v>
      </c>
      <c r="U59" s="683"/>
      <c r="V59" s="683"/>
      <c r="W59" s="681"/>
      <c r="X59" s="681">
        <v>1</v>
      </c>
      <c r="Y59" s="681">
        <v>1</v>
      </c>
      <c r="Z59" s="681">
        <v>1</v>
      </c>
      <c r="AA59" s="681">
        <f t="shared" si="3"/>
        <v>3</v>
      </c>
      <c r="AB59" s="681">
        <f t="shared" si="4"/>
        <v>3</v>
      </c>
      <c r="AC59" s="709">
        <v>855.2</v>
      </c>
      <c r="AD59" s="681">
        <v>0</v>
      </c>
    </row>
    <row r="60" spans="1:30" s="669" customFormat="1" ht="17.25" customHeight="1">
      <c r="A60" s="681">
        <v>54</v>
      </c>
      <c r="B60" s="685" t="s">
        <v>460</v>
      </c>
      <c r="C60" s="683"/>
      <c r="D60" s="683"/>
      <c r="E60" s="684" t="s">
        <v>150</v>
      </c>
      <c r="F60" s="683"/>
      <c r="G60" s="688">
        <v>58.3</v>
      </c>
      <c r="H60" s="681">
        <f t="shared" si="9"/>
        <v>58.3</v>
      </c>
      <c r="I60" s="683"/>
      <c r="J60" s="683"/>
      <c r="K60" s="688">
        <v>1360</v>
      </c>
      <c r="L60" s="683">
        <v>33</v>
      </c>
      <c r="M60" s="681">
        <f t="shared" si="10"/>
        <v>1360</v>
      </c>
      <c r="N60" s="681">
        <f t="shared" si="10"/>
        <v>33</v>
      </c>
      <c r="O60" s="681">
        <v>84</v>
      </c>
      <c r="P60" s="681">
        <v>96</v>
      </c>
      <c r="Q60" s="683"/>
      <c r="R60" s="681">
        <v>4</v>
      </c>
      <c r="S60" s="683"/>
      <c r="T60" s="681">
        <f t="shared" si="11"/>
        <v>4</v>
      </c>
      <c r="U60" s="683"/>
      <c r="V60" s="683"/>
      <c r="W60" s="681"/>
      <c r="X60" s="681">
        <v>1</v>
      </c>
      <c r="Y60" s="681">
        <v>1</v>
      </c>
      <c r="Z60" s="681">
        <v>1</v>
      </c>
      <c r="AA60" s="681">
        <f t="shared" si="3"/>
        <v>3</v>
      </c>
      <c r="AB60" s="681">
        <f t="shared" si="4"/>
        <v>3</v>
      </c>
      <c r="AC60" s="709">
        <v>329.3991</v>
      </c>
      <c r="AD60" s="681">
        <v>0</v>
      </c>
    </row>
    <row r="61" spans="1:30" s="669" customFormat="1" ht="17.25" customHeight="1">
      <c r="A61" s="691" t="s">
        <v>122</v>
      </c>
      <c r="B61" s="692"/>
      <c r="C61" s="683"/>
      <c r="D61" s="683"/>
      <c r="E61" s="683"/>
      <c r="F61" s="683">
        <f aca="true" t="shared" si="12" ref="F61:AA61">SUM(F7:F60)</f>
        <v>1628.49</v>
      </c>
      <c r="G61" s="683">
        <f t="shared" si="12"/>
        <v>1485.3519999999999</v>
      </c>
      <c r="H61" s="683">
        <f t="shared" si="12"/>
        <v>3113.8419999999996</v>
      </c>
      <c r="I61" s="683">
        <f t="shared" si="12"/>
        <v>36319.3</v>
      </c>
      <c r="J61" s="683">
        <f t="shared" si="12"/>
        <v>803</v>
      </c>
      <c r="K61" s="683">
        <f t="shared" si="12"/>
        <v>254183.7</v>
      </c>
      <c r="L61" s="683">
        <f t="shared" si="12"/>
        <v>1940</v>
      </c>
      <c r="M61" s="683">
        <f t="shared" si="12"/>
        <v>290503</v>
      </c>
      <c r="N61" s="683">
        <f t="shared" si="12"/>
        <v>2743</v>
      </c>
      <c r="O61" s="683">
        <f t="shared" si="12"/>
        <v>8411</v>
      </c>
      <c r="P61" s="683">
        <f t="shared" si="12"/>
        <v>8764</v>
      </c>
      <c r="Q61" s="683">
        <f t="shared" si="12"/>
        <v>3</v>
      </c>
      <c r="R61" s="683">
        <f t="shared" si="12"/>
        <v>140</v>
      </c>
      <c r="S61" s="683">
        <f t="shared" si="12"/>
        <v>0</v>
      </c>
      <c r="T61" s="683">
        <f t="shared" si="12"/>
        <v>143</v>
      </c>
      <c r="U61" s="683">
        <f t="shared" si="12"/>
        <v>28770</v>
      </c>
      <c r="V61" s="683">
        <f t="shared" si="12"/>
        <v>172</v>
      </c>
      <c r="W61" s="683">
        <f t="shared" si="12"/>
        <v>1824</v>
      </c>
      <c r="X61" s="683">
        <f t="shared" si="12"/>
        <v>1550</v>
      </c>
      <c r="Y61" s="683">
        <f t="shared" si="12"/>
        <v>478</v>
      </c>
      <c r="Z61" s="683">
        <f t="shared" si="12"/>
        <v>653</v>
      </c>
      <c r="AA61" s="683">
        <f t="shared" si="12"/>
        <v>1959</v>
      </c>
      <c r="AB61" s="681">
        <f t="shared" si="4"/>
        <v>1959</v>
      </c>
      <c r="AC61" s="710">
        <f>SUM(AC7:AC60)</f>
        <v>39556.8676</v>
      </c>
      <c r="AD61" s="681">
        <v>2.93</v>
      </c>
    </row>
    <row r="62" spans="1:30" ht="17.25" customHeight="1">
      <c r="A62" s="693" t="s">
        <v>209</v>
      </c>
      <c r="B62" s="694"/>
      <c r="C62" s="695">
        <v>5</v>
      </c>
      <c r="D62" s="695">
        <v>18</v>
      </c>
      <c r="E62" s="695">
        <v>31</v>
      </c>
      <c r="F62" s="695">
        <f aca="true" t="shared" si="13" ref="F62:AC62">F61</f>
        <v>1628.49</v>
      </c>
      <c r="G62" s="695">
        <f t="shared" si="13"/>
        <v>1485.3519999999999</v>
      </c>
      <c r="H62" s="695">
        <f t="shared" si="13"/>
        <v>3113.8419999999996</v>
      </c>
      <c r="I62" s="695">
        <f t="shared" si="13"/>
        <v>36319.3</v>
      </c>
      <c r="J62" s="695">
        <f t="shared" si="13"/>
        <v>803</v>
      </c>
      <c r="K62" s="695">
        <f t="shared" si="13"/>
        <v>254183.7</v>
      </c>
      <c r="L62" s="695">
        <f t="shared" si="13"/>
        <v>1940</v>
      </c>
      <c r="M62" s="695">
        <f t="shared" si="13"/>
        <v>290503</v>
      </c>
      <c r="N62" s="695">
        <f t="shared" si="13"/>
        <v>2743</v>
      </c>
      <c r="O62" s="695">
        <f t="shared" si="13"/>
        <v>8411</v>
      </c>
      <c r="P62" s="695">
        <f t="shared" si="13"/>
        <v>8764</v>
      </c>
      <c r="Q62" s="695">
        <f t="shared" si="13"/>
        <v>3</v>
      </c>
      <c r="R62" s="695">
        <f t="shared" si="13"/>
        <v>140</v>
      </c>
      <c r="S62" s="695">
        <f t="shared" si="13"/>
        <v>0</v>
      </c>
      <c r="T62" s="695">
        <f t="shared" si="13"/>
        <v>143</v>
      </c>
      <c r="U62" s="695">
        <f t="shared" si="13"/>
        <v>28770</v>
      </c>
      <c r="V62" s="695">
        <f t="shared" si="13"/>
        <v>172</v>
      </c>
      <c r="W62" s="695">
        <f t="shared" si="13"/>
        <v>1824</v>
      </c>
      <c r="X62" s="695">
        <f t="shared" si="13"/>
        <v>1550</v>
      </c>
      <c r="Y62" s="695">
        <f t="shared" si="13"/>
        <v>478</v>
      </c>
      <c r="Z62" s="695">
        <f t="shared" si="13"/>
        <v>653</v>
      </c>
      <c r="AA62" s="695">
        <f t="shared" si="13"/>
        <v>1959</v>
      </c>
      <c r="AB62" s="695">
        <f t="shared" si="13"/>
        <v>1959</v>
      </c>
      <c r="AC62" s="711">
        <f t="shared" si="13"/>
        <v>39556.8676</v>
      </c>
      <c r="AD62" s="681">
        <v>2.93</v>
      </c>
    </row>
    <row r="63" spans="1:30" ht="17.25" customHeight="1">
      <c r="A63" s="696"/>
      <c r="B63" s="697" t="s">
        <v>461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8"/>
      <c r="O63" s="698"/>
      <c r="P63" s="698"/>
      <c r="Q63" s="698"/>
      <c r="R63" s="698"/>
      <c r="S63" s="698"/>
      <c r="T63" s="698"/>
      <c r="U63" s="698"/>
      <c r="V63" s="698"/>
      <c r="W63" s="698"/>
      <c r="X63" s="698"/>
      <c r="Y63" s="698"/>
      <c r="Z63" s="698"/>
      <c r="AA63" s="698"/>
      <c r="AB63" s="698"/>
      <c r="AC63" s="698"/>
      <c r="AD63" s="712"/>
    </row>
    <row r="64" spans="4:30" ht="17.25" customHeight="1">
      <c r="D64" s="670" t="s">
        <v>176</v>
      </c>
      <c r="E64" s="699"/>
      <c r="F64" s="699"/>
      <c r="G64" s="699"/>
      <c r="H64" s="699"/>
      <c r="I64" s="699"/>
      <c r="J64" s="699"/>
      <c r="K64" s="699" t="s">
        <v>177</v>
      </c>
      <c r="L64" s="699"/>
      <c r="M64" s="699"/>
      <c r="N64" s="699"/>
      <c r="P64" s="699"/>
      <c r="Q64" s="699"/>
      <c r="R64" s="699"/>
      <c r="S64" s="699"/>
      <c r="T64" s="699"/>
      <c r="U64" s="699" t="s">
        <v>211</v>
      </c>
      <c r="V64" s="699"/>
      <c r="W64" s="699"/>
      <c r="X64" s="699"/>
      <c r="Y64" s="699"/>
      <c r="Z64" s="699"/>
      <c r="AA64" s="699"/>
      <c r="AB64" s="713" t="s">
        <v>462</v>
      </c>
      <c r="AC64" s="713"/>
      <c r="AD64" s="713"/>
    </row>
    <row r="65" spans="4:5" ht="17.25" customHeight="1">
      <c r="D65" s="714"/>
      <c r="E65" s="714"/>
    </row>
  </sheetData>
  <sheetProtection/>
  <mergeCells count="23">
    <mergeCell ref="A1:AD1"/>
    <mergeCell ref="C3:E3"/>
    <mergeCell ref="F3:H3"/>
    <mergeCell ref="I3:N3"/>
    <mergeCell ref="Q3:T3"/>
    <mergeCell ref="U3:V3"/>
    <mergeCell ref="W3:Y3"/>
    <mergeCell ref="AA3:AB3"/>
    <mergeCell ref="A61:B61"/>
    <mergeCell ref="A62:B62"/>
    <mergeCell ref="AB64:AD64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 horizontalCentered="1" verticalCentered="1"/>
  <pageMargins left="0.16944444444444445" right="0.23958333333333334" top="0.23958333333333334" bottom="0.12986111111111112" header="0.11944444444444445" footer="0.12986111111111112"/>
  <pageSetup horizontalDpi="360" verticalDpi="360" orientation="landscape" paperSize="8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S78"/>
  <sheetViews>
    <sheetView zoomScale="85" zoomScaleNormal="85" workbookViewId="0" topLeftCell="A1">
      <pane xSplit="2" ySplit="6" topLeftCell="C64" activePane="bottomRight" state="frozen"/>
      <selection pane="bottomRight" activeCell="AG6" sqref="AG6"/>
    </sheetView>
  </sheetViews>
  <sheetFormatPr defaultColWidth="9.00390625" defaultRowHeight="14.25"/>
  <cols>
    <col min="1" max="1" width="3.125" style="294" customWidth="1"/>
    <col min="2" max="2" width="12.75390625" style="294" customWidth="1"/>
    <col min="3" max="4" width="3.125" style="294" customWidth="1"/>
    <col min="5" max="5" width="2.875" style="294" customWidth="1"/>
    <col min="6" max="6" width="8.50390625" style="294" customWidth="1"/>
    <col min="7" max="7" width="7.375" style="294" customWidth="1"/>
    <col min="8" max="8" width="8.125" style="294" customWidth="1"/>
    <col min="9" max="9" width="7.75390625" style="294" customWidth="1"/>
    <col min="10" max="10" width="5.25390625" style="294" customWidth="1"/>
    <col min="11" max="11" width="8.75390625" style="294" customWidth="1"/>
    <col min="12" max="12" width="4.75390625" style="294" customWidth="1"/>
    <col min="13" max="13" width="10.625" style="294" customWidth="1"/>
    <col min="14" max="15" width="8.25390625" style="294" customWidth="1"/>
    <col min="16" max="16" width="10.00390625" style="294" bestFit="1" customWidth="1"/>
    <col min="17" max="17" width="5.25390625" style="294" customWidth="1"/>
    <col min="18" max="18" width="4.50390625" style="294" customWidth="1"/>
    <col min="19" max="19" width="5.50390625" style="294" customWidth="1"/>
    <col min="20" max="20" width="5.125" style="294" customWidth="1"/>
    <col min="21" max="21" width="8.375" style="294" customWidth="1"/>
    <col min="22" max="22" width="6.00390625" style="294" customWidth="1"/>
    <col min="23" max="23" width="5.375" style="294" customWidth="1"/>
    <col min="24" max="24" width="4.50390625" style="294" customWidth="1"/>
    <col min="25" max="26" width="3.875" style="294" customWidth="1"/>
    <col min="27" max="27" width="3.375" style="294" customWidth="1"/>
    <col min="28" max="28" width="3.25390625" style="294" customWidth="1"/>
    <col min="29" max="29" width="9.00390625" style="294" customWidth="1"/>
    <col min="30" max="30" width="6.75390625" style="294" customWidth="1"/>
    <col min="31" max="31" width="5.625" style="294" customWidth="1"/>
    <col min="32" max="32" width="4.375" style="294" customWidth="1"/>
    <col min="33" max="35" width="4.75390625" style="294" customWidth="1"/>
    <col min="36" max="36" width="5.50390625" style="294" customWidth="1"/>
    <col min="37" max="37" width="5.25390625" style="294" customWidth="1"/>
    <col min="38" max="38" width="4.375" style="294" customWidth="1"/>
    <col min="39" max="16384" width="9.00390625" style="294" customWidth="1"/>
  </cols>
  <sheetData>
    <row r="1" spans="1:30" ht="20.25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28" ht="15.75">
      <c r="A2" s="294" t="s">
        <v>98</v>
      </c>
      <c r="D2" s="442" t="s">
        <v>463</v>
      </c>
      <c r="E2" s="442"/>
      <c r="F2" s="442"/>
      <c r="V2" s="294" t="s">
        <v>464</v>
      </c>
      <c r="X2" s="644">
        <v>41274</v>
      </c>
      <c r="Y2" s="644"/>
      <c r="Z2" s="644"/>
      <c r="AA2" s="644"/>
      <c r="AB2" s="294" t="s">
        <v>101</v>
      </c>
    </row>
    <row r="3" spans="1:30" s="620" customFormat="1" ht="14.25">
      <c r="A3" s="623" t="s">
        <v>102</v>
      </c>
      <c r="B3" s="624" t="s">
        <v>103</v>
      </c>
      <c r="C3" s="624" t="s">
        <v>104</v>
      </c>
      <c r="D3" s="624"/>
      <c r="E3" s="624"/>
      <c r="F3" s="432" t="s">
        <v>105</v>
      </c>
      <c r="G3" s="429"/>
      <c r="H3" s="429"/>
      <c r="I3" s="429" t="s">
        <v>404</v>
      </c>
      <c r="J3" s="429"/>
      <c r="K3" s="429"/>
      <c r="L3" s="429"/>
      <c r="M3" s="429"/>
      <c r="N3" s="429"/>
      <c r="O3" s="623" t="s">
        <v>107</v>
      </c>
      <c r="P3" s="623" t="s">
        <v>108</v>
      </c>
      <c r="Q3" s="431" t="s">
        <v>109</v>
      </c>
      <c r="R3" s="645"/>
      <c r="S3" s="645"/>
      <c r="T3" s="432"/>
      <c r="U3" s="429" t="s">
        <v>110</v>
      </c>
      <c r="V3" s="429"/>
      <c r="W3" s="431" t="s">
        <v>111</v>
      </c>
      <c r="X3" s="645"/>
      <c r="Y3" s="432"/>
      <c r="Z3" s="623" t="s">
        <v>112</v>
      </c>
      <c r="AA3" s="429" t="s">
        <v>113</v>
      </c>
      <c r="AB3" s="429"/>
      <c r="AC3" s="623" t="s">
        <v>114</v>
      </c>
      <c r="AD3" s="623" t="s">
        <v>115</v>
      </c>
    </row>
    <row r="4" spans="1:30" s="620" customFormat="1" ht="15.75" customHeight="1">
      <c r="A4" s="625"/>
      <c r="B4" s="624"/>
      <c r="C4" s="624" t="s">
        <v>116</v>
      </c>
      <c r="D4" s="624" t="s">
        <v>117</v>
      </c>
      <c r="E4" s="624" t="s">
        <v>118</v>
      </c>
      <c r="F4" s="626" t="s">
        <v>119</v>
      </c>
      <c r="G4" s="627"/>
      <c r="H4" s="627"/>
      <c r="I4" s="429" t="s">
        <v>120</v>
      </c>
      <c r="J4" s="429"/>
      <c r="K4" s="429" t="s">
        <v>121</v>
      </c>
      <c r="L4" s="429"/>
      <c r="M4" s="429" t="s">
        <v>122</v>
      </c>
      <c r="N4" s="429"/>
      <c r="O4" s="625"/>
      <c r="P4" s="638" t="s">
        <v>123</v>
      </c>
      <c r="Q4" s="623"/>
      <c r="R4" s="623"/>
      <c r="S4" s="623"/>
      <c r="T4" s="623"/>
      <c r="U4" s="429" t="s">
        <v>405</v>
      </c>
      <c r="V4" s="429"/>
      <c r="W4" s="623" t="s">
        <v>125</v>
      </c>
      <c r="X4" s="623" t="s">
        <v>126</v>
      </c>
      <c r="Y4" s="623" t="s">
        <v>126</v>
      </c>
      <c r="Z4" s="625" t="s">
        <v>127</v>
      </c>
      <c r="AA4" s="429" t="s">
        <v>128</v>
      </c>
      <c r="AB4" s="429"/>
      <c r="AC4" s="628" t="s">
        <v>129</v>
      </c>
      <c r="AD4" s="628" t="s">
        <v>130</v>
      </c>
    </row>
    <row r="5" spans="1:30" s="620" customFormat="1" ht="15.75" customHeight="1">
      <c r="A5" s="625"/>
      <c r="B5" s="624"/>
      <c r="C5" s="624"/>
      <c r="D5" s="624"/>
      <c r="E5" s="624"/>
      <c r="F5" s="626"/>
      <c r="G5" s="627"/>
      <c r="H5" s="627"/>
      <c r="I5" s="429"/>
      <c r="J5" s="429"/>
      <c r="K5" s="429"/>
      <c r="L5" s="429"/>
      <c r="M5" s="429"/>
      <c r="N5" s="429"/>
      <c r="O5" s="628" t="s">
        <v>131</v>
      </c>
      <c r="P5" s="639" t="s">
        <v>132</v>
      </c>
      <c r="Q5" s="625"/>
      <c r="R5" s="625" t="s">
        <v>133</v>
      </c>
      <c r="S5" s="625"/>
      <c r="T5" s="625"/>
      <c r="U5" s="429"/>
      <c r="V5" s="429"/>
      <c r="W5" s="625"/>
      <c r="X5" s="625"/>
      <c r="Y5" s="625"/>
      <c r="Z5" s="628" t="s">
        <v>134</v>
      </c>
      <c r="AA5" s="429"/>
      <c r="AB5" s="429"/>
      <c r="AC5" s="623" t="s">
        <v>135</v>
      </c>
      <c r="AD5" s="650" t="s">
        <v>136</v>
      </c>
    </row>
    <row r="6" spans="1:30" s="620" customFormat="1" ht="15">
      <c r="A6" s="628" t="s">
        <v>137</v>
      </c>
      <c r="B6" s="624"/>
      <c r="C6" s="624"/>
      <c r="D6" s="624"/>
      <c r="E6" s="624"/>
      <c r="F6" s="432" t="s">
        <v>120</v>
      </c>
      <c r="G6" s="429" t="s">
        <v>121</v>
      </c>
      <c r="H6" s="429" t="s">
        <v>122</v>
      </c>
      <c r="I6" s="429" t="s">
        <v>138</v>
      </c>
      <c r="J6" s="429" t="s">
        <v>139</v>
      </c>
      <c r="K6" s="429" t="s">
        <v>138</v>
      </c>
      <c r="L6" s="429" t="s">
        <v>139</v>
      </c>
      <c r="M6" s="429" t="s">
        <v>138</v>
      </c>
      <c r="N6" s="429" t="s">
        <v>139</v>
      </c>
      <c r="O6" s="429" t="s">
        <v>128</v>
      </c>
      <c r="P6" s="429" t="s">
        <v>128</v>
      </c>
      <c r="Q6" s="646" t="s">
        <v>406</v>
      </c>
      <c r="R6" s="628" t="s">
        <v>141</v>
      </c>
      <c r="S6" s="628" t="s">
        <v>142</v>
      </c>
      <c r="T6" s="628" t="s">
        <v>122</v>
      </c>
      <c r="U6" s="429" t="s">
        <v>138</v>
      </c>
      <c r="V6" s="429" t="s">
        <v>139</v>
      </c>
      <c r="W6" s="628"/>
      <c r="X6" s="628" t="s">
        <v>143</v>
      </c>
      <c r="Y6" s="628" t="s">
        <v>144</v>
      </c>
      <c r="Z6" s="429" t="s">
        <v>145</v>
      </c>
      <c r="AA6" s="627" t="s">
        <v>146</v>
      </c>
      <c r="AB6" s="627" t="s">
        <v>147</v>
      </c>
      <c r="AC6" s="628" t="s">
        <v>148</v>
      </c>
      <c r="AD6" s="646"/>
    </row>
    <row r="7" spans="1:201" s="418" customFormat="1" ht="21.75" customHeight="1">
      <c r="A7" s="942" t="s">
        <v>465</v>
      </c>
      <c r="B7" s="630" t="s">
        <v>466</v>
      </c>
      <c r="C7" s="631" t="s">
        <v>150</v>
      </c>
      <c r="D7" s="630"/>
      <c r="E7" s="631"/>
      <c r="F7" s="630">
        <v>16.65</v>
      </c>
      <c r="G7" s="630"/>
      <c r="H7" s="630">
        <f aca="true" t="shared" si="0" ref="H7:H70">F7+G7</f>
        <v>16.65</v>
      </c>
      <c r="I7" s="640">
        <v>3515</v>
      </c>
      <c r="J7" s="640">
        <v>26</v>
      </c>
      <c r="K7" s="640">
        <v>5490</v>
      </c>
      <c r="L7" s="640">
        <v>24</v>
      </c>
      <c r="M7" s="640">
        <f aca="true" t="shared" si="1" ref="M7:N22">I7+K7</f>
        <v>9005</v>
      </c>
      <c r="N7" s="640">
        <f t="shared" si="1"/>
        <v>50</v>
      </c>
      <c r="O7" s="640">
        <f aca="true" t="shared" si="2" ref="O7:O70">P7</f>
        <v>150</v>
      </c>
      <c r="P7" s="640">
        <f aca="true" t="shared" si="3" ref="P7:P70">N7*3</f>
        <v>150</v>
      </c>
      <c r="Q7" s="647"/>
      <c r="R7" s="642">
        <v>1</v>
      </c>
      <c r="S7" s="642"/>
      <c r="T7" s="642">
        <f>R7</f>
        <v>1</v>
      </c>
      <c r="U7" s="642"/>
      <c r="V7" s="642"/>
      <c r="W7" s="642"/>
      <c r="X7" s="642">
        <f>J7</f>
        <v>26</v>
      </c>
      <c r="Y7" s="642"/>
      <c r="Z7" s="642">
        <v>9</v>
      </c>
      <c r="AA7" s="642"/>
      <c r="AB7" s="642"/>
      <c r="AC7" s="647">
        <v>1552.49</v>
      </c>
      <c r="AD7" s="651">
        <v>5.79</v>
      </c>
      <c r="AE7" s="65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2"/>
      <c r="AZ7" s="622"/>
      <c r="BA7" s="622"/>
      <c r="BB7" s="622"/>
      <c r="BC7" s="622"/>
      <c r="BD7" s="622"/>
      <c r="BE7" s="622"/>
      <c r="BF7" s="622"/>
      <c r="BG7" s="622"/>
      <c r="BH7" s="622"/>
      <c r="BI7" s="622"/>
      <c r="BJ7" s="622"/>
      <c r="BK7" s="622"/>
      <c r="BL7" s="622"/>
      <c r="BM7" s="622"/>
      <c r="BN7" s="622"/>
      <c r="BO7" s="622"/>
      <c r="BP7" s="622"/>
      <c r="BQ7" s="622"/>
      <c r="BR7" s="622"/>
      <c r="BS7" s="622"/>
      <c r="BT7" s="622"/>
      <c r="BU7" s="622"/>
      <c r="BV7" s="622"/>
      <c r="BW7" s="622"/>
      <c r="BX7" s="622"/>
      <c r="BY7" s="622"/>
      <c r="BZ7" s="622"/>
      <c r="CA7" s="622"/>
      <c r="CB7" s="622"/>
      <c r="CC7" s="622"/>
      <c r="CD7" s="622"/>
      <c r="CE7" s="622"/>
      <c r="CF7" s="622"/>
      <c r="CG7" s="622"/>
      <c r="CH7" s="622"/>
      <c r="CI7" s="622"/>
      <c r="CJ7" s="622"/>
      <c r="CK7" s="622"/>
      <c r="CL7" s="622"/>
      <c r="CM7" s="622"/>
      <c r="CN7" s="622"/>
      <c r="CO7" s="622"/>
      <c r="CP7" s="622"/>
      <c r="CQ7" s="622"/>
      <c r="CR7" s="622"/>
      <c r="CS7" s="622"/>
      <c r="CT7" s="622"/>
      <c r="CU7" s="622"/>
      <c r="CV7" s="622"/>
      <c r="CW7" s="622"/>
      <c r="CX7" s="622"/>
      <c r="CY7" s="622"/>
      <c r="CZ7" s="622"/>
      <c r="DA7" s="622"/>
      <c r="DB7" s="622"/>
      <c r="DC7" s="622"/>
      <c r="DD7" s="622"/>
      <c r="DE7" s="622"/>
      <c r="DF7" s="622"/>
      <c r="DG7" s="622"/>
      <c r="DH7" s="622"/>
      <c r="DI7" s="622"/>
      <c r="DJ7" s="622"/>
      <c r="DK7" s="622"/>
      <c r="DL7" s="622"/>
      <c r="DM7" s="622"/>
      <c r="DN7" s="622"/>
      <c r="DO7" s="622"/>
      <c r="DP7" s="622"/>
      <c r="DQ7" s="622"/>
      <c r="DR7" s="622"/>
      <c r="DS7" s="622"/>
      <c r="DT7" s="622"/>
      <c r="DU7" s="622"/>
      <c r="DV7" s="622"/>
      <c r="DW7" s="622"/>
      <c r="DX7" s="622"/>
      <c r="DY7" s="622"/>
      <c r="DZ7" s="622"/>
      <c r="EA7" s="622"/>
      <c r="EB7" s="622"/>
      <c r="EC7" s="622"/>
      <c r="ED7" s="622"/>
      <c r="EE7" s="622"/>
      <c r="EF7" s="622"/>
      <c r="EG7" s="622"/>
      <c r="EH7" s="622"/>
      <c r="EI7" s="622"/>
      <c r="EJ7" s="622"/>
      <c r="EK7" s="622"/>
      <c r="EL7" s="622"/>
      <c r="EM7" s="622"/>
      <c r="EN7" s="622"/>
      <c r="EO7" s="622"/>
      <c r="EP7" s="622"/>
      <c r="EQ7" s="622"/>
      <c r="ER7" s="622"/>
      <c r="ES7" s="622"/>
      <c r="ET7" s="622"/>
      <c r="EU7" s="622"/>
      <c r="EV7" s="622"/>
      <c r="EW7" s="622"/>
      <c r="EX7" s="622"/>
      <c r="EY7" s="622"/>
      <c r="EZ7" s="622"/>
      <c r="FA7" s="622"/>
      <c r="FB7" s="622"/>
      <c r="FC7" s="622"/>
      <c r="FD7" s="622"/>
      <c r="FE7" s="622"/>
      <c r="FF7" s="622"/>
      <c r="FG7" s="622"/>
      <c r="FH7" s="622"/>
      <c r="FI7" s="622"/>
      <c r="FJ7" s="622"/>
      <c r="FK7" s="622"/>
      <c r="FL7" s="622"/>
      <c r="FM7" s="622"/>
      <c r="FN7" s="622"/>
      <c r="FO7" s="622"/>
      <c r="FP7" s="622"/>
      <c r="FQ7" s="622"/>
      <c r="FR7" s="622"/>
      <c r="FS7" s="622"/>
      <c r="FT7" s="622"/>
      <c r="FU7" s="622"/>
      <c r="FV7" s="622"/>
      <c r="FW7" s="622"/>
      <c r="FX7" s="622"/>
      <c r="FY7" s="622"/>
      <c r="FZ7" s="622"/>
      <c r="GA7" s="622"/>
      <c r="GB7" s="622"/>
      <c r="GC7" s="622"/>
      <c r="GD7" s="622"/>
      <c r="GE7" s="622"/>
      <c r="GF7" s="622"/>
      <c r="GG7" s="622"/>
      <c r="GH7" s="622"/>
      <c r="GI7" s="622"/>
      <c r="GJ7" s="622"/>
      <c r="GK7" s="622"/>
      <c r="GL7" s="622"/>
      <c r="GM7" s="622"/>
      <c r="GN7" s="622"/>
      <c r="GO7" s="622"/>
      <c r="GP7" s="622"/>
      <c r="GQ7" s="622"/>
      <c r="GR7" s="622"/>
      <c r="GS7" s="622"/>
    </row>
    <row r="8" spans="1:201" s="418" customFormat="1" ht="21.75" customHeight="1">
      <c r="A8" s="942" t="s">
        <v>467</v>
      </c>
      <c r="B8" s="630" t="s">
        <v>468</v>
      </c>
      <c r="C8" s="631" t="s">
        <v>150</v>
      </c>
      <c r="D8" s="630"/>
      <c r="E8" s="630"/>
      <c r="F8" s="630">
        <v>5.46</v>
      </c>
      <c r="G8" s="630"/>
      <c r="H8" s="630">
        <f t="shared" si="0"/>
        <v>5.46</v>
      </c>
      <c r="I8" s="640"/>
      <c r="J8" s="640"/>
      <c r="K8" s="640"/>
      <c r="L8" s="640"/>
      <c r="M8" s="640"/>
      <c r="N8" s="640"/>
      <c r="O8" s="640">
        <f t="shared" si="2"/>
        <v>0</v>
      </c>
      <c r="P8" s="640">
        <f t="shared" si="3"/>
        <v>0</v>
      </c>
      <c r="Q8" s="647"/>
      <c r="R8" s="642">
        <v>1</v>
      </c>
      <c r="S8" s="642"/>
      <c r="T8" s="642">
        <f aca="true" t="shared" si="4" ref="T8:T50">R8</f>
        <v>1</v>
      </c>
      <c r="U8" s="642"/>
      <c r="V8" s="642"/>
      <c r="W8" s="642"/>
      <c r="X8" s="642">
        <f aca="true" t="shared" si="5" ref="X8:X67">J8</f>
        <v>0</v>
      </c>
      <c r="Y8" s="642"/>
      <c r="Z8" s="642">
        <v>2</v>
      </c>
      <c r="AA8" s="642"/>
      <c r="AB8" s="642"/>
      <c r="AC8" s="647">
        <v>0</v>
      </c>
      <c r="AD8" s="651">
        <v>0</v>
      </c>
      <c r="AE8" s="65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622"/>
      <c r="BQ8" s="622"/>
      <c r="BR8" s="622"/>
      <c r="BS8" s="622"/>
      <c r="BT8" s="622"/>
      <c r="BU8" s="622"/>
      <c r="BV8" s="622"/>
      <c r="BW8" s="622"/>
      <c r="BX8" s="622"/>
      <c r="BY8" s="622"/>
      <c r="BZ8" s="622"/>
      <c r="CA8" s="622"/>
      <c r="CB8" s="622"/>
      <c r="CC8" s="622"/>
      <c r="CD8" s="622"/>
      <c r="CE8" s="622"/>
      <c r="CF8" s="622"/>
      <c r="CG8" s="622"/>
      <c r="CH8" s="622"/>
      <c r="CI8" s="622"/>
      <c r="CJ8" s="622"/>
      <c r="CK8" s="622"/>
      <c r="CL8" s="622"/>
      <c r="CM8" s="622"/>
      <c r="CN8" s="622"/>
      <c r="CO8" s="622"/>
      <c r="CP8" s="622"/>
      <c r="CQ8" s="622"/>
      <c r="CR8" s="622"/>
      <c r="CS8" s="622"/>
      <c r="CT8" s="622"/>
      <c r="CU8" s="622"/>
      <c r="CV8" s="622"/>
      <c r="CW8" s="622"/>
      <c r="CX8" s="622"/>
      <c r="CY8" s="622"/>
      <c r="CZ8" s="622"/>
      <c r="DA8" s="622"/>
      <c r="DB8" s="622"/>
      <c r="DC8" s="622"/>
      <c r="DD8" s="622"/>
      <c r="DE8" s="622"/>
      <c r="DF8" s="622"/>
      <c r="DG8" s="622"/>
      <c r="DH8" s="622"/>
      <c r="DI8" s="622"/>
      <c r="DJ8" s="622"/>
      <c r="DK8" s="622"/>
      <c r="DL8" s="622"/>
      <c r="DM8" s="622"/>
      <c r="DN8" s="622"/>
      <c r="DO8" s="622"/>
      <c r="DP8" s="622"/>
      <c r="DQ8" s="622"/>
      <c r="DR8" s="622"/>
      <c r="DS8" s="622"/>
      <c r="DT8" s="622"/>
      <c r="DU8" s="622"/>
      <c r="DV8" s="622"/>
      <c r="DW8" s="622"/>
      <c r="DX8" s="622"/>
      <c r="DY8" s="622"/>
      <c r="DZ8" s="622"/>
      <c r="EA8" s="622"/>
      <c r="EB8" s="622"/>
      <c r="EC8" s="622"/>
      <c r="ED8" s="622"/>
      <c r="EE8" s="622"/>
      <c r="EF8" s="622"/>
      <c r="EG8" s="622"/>
      <c r="EH8" s="622"/>
      <c r="EI8" s="622"/>
      <c r="EJ8" s="622"/>
      <c r="EK8" s="622"/>
      <c r="EL8" s="622"/>
      <c r="EM8" s="622"/>
      <c r="EN8" s="622"/>
      <c r="EO8" s="622"/>
      <c r="EP8" s="622"/>
      <c r="EQ8" s="622"/>
      <c r="ER8" s="622"/>
      <c r="ES8" s="622"/>
      <c r="ET8" s="622"/>
      <c r="EU8" s="622"/>
      <c r="EV8" s="622"/>
      <c r="EW8" s="622"/>
      <c r="EX8" s="622"/>
      <c r="EY8" s="622"/>
      <c r="EZ8" s="622"/>
      <c r="FA8" s="622"/>
      <c r="FB8" s="622"/>
      <c r="FC8" s="622"/>
      <c r="FD8" s="622"/>
      <c r="FE8" s="622"/>
      <c r="FF8" s="622"/>
      <c r="FG8" s="622"/>
      <c r="FH8" s="622"/>
      <c r="FI8" s="622"/>
      <c r="FJ8" s="622"/>
      <c r="FK8" s="622"/>
      <c r="FL8" s="622"/>
      <c r="FM8" s="622"/>
      <c r="FN8" s="622"/>
      <c r="FO8" s="622"/>
      <c r="FP8" s="622"/>
      <c r="FQ8" s="622"/>
      <c r="FR8" s="622"/>
      <c r="FS8" s="622"/>
      <c r="FT8" s="622"/>
      <c r="FU8" s="622"/>
      <c r="FV8" s="622"/>
      <c r="FW8" s="622"/>
      <c r="FX8" s="622"/>
      <c r="FY8" s="622"/>
      <c r="FZ8" s="622"/>
      <c r="GA8" s="622"/>
      <c r="GB8" s="622"/>
      <c r="GC8" s="622"/>
      <c r="GD8" s="622"/>
      <c r="GE8" s="622"/>
      <c r="GF8" s="622"/>
      <c r="GG8" s="622"/>
      <c r="GH8" s="622"/>
      <c r="GI8" s="622"/>
      <c r="GJ8" s="622"/>
      <c r="GK8" s="622"/>
      <c r="GL8" s="622"/>
      <c r="GM8" s="622"/>
      <c r="GN8" s="622"/>
      <c r="GO8" s="622"/>
      <c r="GP8" s="622"/>
      <c r="GQ8" s="622"/>
      <c r="GR8" s="622"/>
      <c r="GS8" s="622"/>
    </row>
    <row r="9" spans="1:201" s="418" customFormat="1" ht="21.75" customHeight="1">
      <c r="A9" s="942" t="s">
        <v>469</v>
      </c>
      <c r="B9" s="630" t="s">
        <v>470</v>
      </c>
      <c r="C9" s="631" t="s">
        <v>150</v>
      </c>
      <c r="D9" s="630"/>
      <c r="E9" s="630"/>
      <c r="F9" s="630">
        <v>6.65</v>
      </c>
      <c r="G9" s="630"/>
      <c r="H9" s="630">
        <f t="shared" si="0"/>
        <v>6.65</v>
      </c>
      <c r="I9" s="640"/>
      <c r="J9" s="640"/>
      <c r="K9" s="640">
        <v>6000</v>
      </c>
      <c r="L9" s="640">
        <v>12</v>
      </c>
      <c r="M9" s="640">
        <f t="shared" si="1"/>
        <v>6000</v>
      </c>
      <c r="N9" s="640">
        <f t="shared" si="1"/>
        <v>12</v>
      </c>
      <c r="O9" s="640">
        <f t="shared" si="2"/>
        <v>36</v>
      </c>
      <c r="P9" s="640">
        <f t="shared" si="3"/>
        <v>36</v>
      </c>
      <c r="Q9" s="647"/>
      <c r="R9" s="642">
        <v>4</v>
      </c>
      <c r="S9" s="642"/>
      <c r="T9" s="642">
        <f t="shared" si="4"/>
        <v>4</v>
      </c>
      <c r="U9" s="642"/>
      <c r="V9" s="642"/>
      <c r="W9" s="642"/>
      <c r="X9" s="642">
        <f t="shared" si="5"/>
        <v>0</v>
      </c>
      <c r="Y9" s="642"/>
      <c r="Z9" s="642">
        <v>5</v>
      </c>
      <c r="AA9" s="642"/>
      <c r="AB9" s="642"/>
      <c r="AC9" s="647">
        <v>0</v>
      </c>
      <c r="AD9" s="651">
        <v>0</v>
      </c>
      <c r="AE9" s="652"/>
      <c r="AF9" s="622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622"/>
      <c r="AR9" s="622"/>
      <c r="AS9" s="622"/>
      <c r="AT9" s="622"/>
      <c r="AU9" s="622"/>
      <c r="AV9" s="622"/>
      <c r="AW9" s="622"/>
      <c r="AX9" s="622"/>
      <c r="AY9" s="622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  <c r="BK9" s="622"/>
      <c r="BL9" s="622"/>
      <c r="BM9" s="622"/>
      <c r="BN9" s="622"/>
      <c r="BO9" s="622"/>
      <c r="BP9" s="622"/>
      <c r="BQ9" s="622"/>
      <c r="BR9" s="622"/>
      <c r="BS9" s="622"/>
      <c r="BT9" s="622"/>
      <c r="BU9" s="622"/>
      <c r="BV9" s="622"/>
      <c r="BW9" s="622"/>
      <c r="BX9" s="622"/>
      <c r="BY9" s="622"/>
      <c r="BZ9" s="622"/>
      <c r="CA9" s="622"/>
      <c r="CB9" s="622"/>
      <c r="CC9" s="622"/>
      <c r="CD9" s="622"/>
      <c r="CE9" s="622"/>
      <c r="CF9" s="622"/>
      <c r="CG9" s="622"/>
      <c r="CH9" s="622"/>
      <c r="CI9" s="622"/>
      <c r="CJ9" s="622"/>
      <c r="CK9" s="622"/>
      <c r="CL9" s="622"/>
      <c r="CM9" s="622"/>
      <c r="CN9" s="622"/>
      <c r="CO9" s="622"/>
      <c r="CP9" s="622"/>
      <c r="CQ9" s="622"/>
      <c r="CR9" s="622"/>
      <c r="CS9" s="622"/>
      <c r="CT9" s="622"/>
      <c r="CU9" s="622"/>
      <c r="CV9" s="622"/>
      <c r="CW9" s="622"/>
      <c r="CX9" s="622"/>
      <c r="CY9" s="622"/>
      <c r="CZ9" s="622"/>
      <c r="DA9" s="622"/>
      <c r="DB9" s="622"/>
      <c r="DC9" s="622"/>
      <c r="DD9" s="622"/>
      <c r="DE9" s="622"/>
      <c r="DF9" s="622"/>
      <c r="DG9" s="622"/>
      <c r="DH9" s="622"/>
      <c r="DI9" s="622"/>
      <c r="DJ9" s="622"/>
      <c r="DK9" s="622"/>
      <c r="DL9" s="622"/>
      <c r="DM9" s="622"/>
      <c r="DN9" s="622"/>
      <c r="DO9" s="622"/>
      <c r="DP9" s="622"/>
      <c r="DQ9" s="622"/>
      <c r="DR9" s="622"/>
      <c r="DS9" s="622"/>
      <c r="DT9" s="622"/>
      <c r="DU9" s="622"/>
      <c r="DV9" s="622"/>
      <c r="DW9" s="622"/>
      <c r="DX9" s="622"/>
      <c r="DY9" s="622"/>
      <c r="DZ9" s="622"/>
      <c r="EA9" s="622"/>
      <c r="EB9" s="622"/>
      <c r="EC9" s="622"/>
      <c r="ED9" s="622"/>
      <c r="EE9" s="622"/>
      <c r="EF9" s="622"/>
      <c r="EG9" s="622"/>
      <c r="EH9" s="622"/>
      <c r="EI9" s="622"/>
      <c r="EJ9" s="622"/>
      <c r="EK9" s="622"/>
      <c r="EL9" s="622"/>
      <c r="EM9" s="622"/>
      <c r="EN9" s="622"/>
      <c r="EO9" s="622"/>
      <c r="EP9" s="622"/>
      <c r="EQ9" s="622"/>
      <c r="ER9" s="622"/>
      <c r="ES9" s="622"/>
      <c r="ET9" s="622"/>
      <c r="EU9" s="622"/>
      <c r="EV9" s="622"/>
      <c r="EW9" s="622"/>
      <c r="EX9" s="622"/>
      <c r="EY9" s="622"/>
      <c r="EZ9" s="622"/>
      <c r="FA9" s="622"/>
      <c r="FB9" s="622"/>
      <c r="FC9" s="622"/>
      <c r="FD9" s="622"/>
      <c r="FE9" s="622"/>
      <c r="FF9" s="622"/>
      <c r="FG9" s="622"/>
      <c r="FH9" s="622"/>
      <c r="FI9" s="622"/>
      <c r="FJ9" s="622"/>
      <c r="FK9" s="622"/>
      <c r="FL9" s="622"/>
      <c r="FM9" s="622"/>
      <c r="FN9" s="622"/>
      <c r="FO9" s="622"/>
      <c r="FP9" s="622"/>
      <c r="FQ9" s="622"/>
      <c r="FR9" s="622"/>
      <c r="FS9" s="622"/>
      <c r="FT9" s="622"/>
      <c r="FU9" s="622"/>
      <c r="FV9" s="622"/>
      <c r="FW9" s="622"/>
      <c r="FX9" s="622"/>
      <c r="FY9" s="622"/>
      <c r="FZ9" s="622"/>
      <c r="GA9" s="622"/>
      <c r="GB9" s="622"/>
      <c r="GC9" s="622"/>
      <c r="GD9" s="622"/>
      <c r="GE9" s="622"/>
      <c r="GF9" s="622"/>
      <c r="GG9" s="622"/>
      <c r="GH9" s="622"/>
      <c r="GI9" s="622"/>
      <c r="GJ9" s="622"/>
      <c r="GK9" s="622"/>
      <c r="GL9" s="622"/>
      <c r="GM9" s="622"/>
      <c r="GN9" s="622"/>
      <c r="GO9" s="622"/>
      <c r="GP9" s="622"/>
      <c r="GQ9" s="622"/>
      <c r="GR9" s="622"/>
      <c r="GS9" s="622"/>
    </row>
    <row r="10" spans="1:201" s="418" customFormat="1" ht="21.75" customHeight="1">
      <c r="A10" s="942" t="s">
        <v>471</v>
      </c>
      <c r="B10" s="630" t="s">
        <v>472</v>
      </c>
      <c r="C10" s="631"/>
      <c r="D10" s="630"/>
      <c r="E10" s="630" t="s">
        <v>150</v>
      </c>
      <c r="F10" s="630"/>
      <c r="G10" s="630">
        <v>2.84</v>
      </c>
      <c r="H10" s="630">
        <f t="shared" si="0"/>
        <v>2.84</v>
      </c>
      <c r="I10" s="641"/>
      <c r="J10" s="640"/>
      <c r="K10" s="640">
        <v>630</v>
      </c>
      <c r="L10" s="640">
        <v>2</v>
      </c>
      <c r="M10" s="640">
        <f t="shared" si="1"/>
        <v>630</v>
      </c>
      <c r="N10" s="640">
        <f t="shared" si="1"/>
        <v>2</v>
      </c>
      <c r="O10" s="640">
        <f t="shared" si="2"/>
        <v>6</v>
      </c>
      <c r="P10" s="640">
        <f t="shared" si="3"/>
        <v>6</v>
      </c>
      <c r="Q10" s="647"/>
      <c r="R10" s="642"/>
      <c r="S10" s="642"/>
      <c r="T10" s="642">
        <f t="shared" si="4"/>
        <v>0</v>
      </c>
      <c r="U10" s="642"/>
      <c r="V10" s="642"/>
      <c r="W10" s="642"/>
      <c r="X10" s="642">
        <f t="shared" si="5"/>
        <v>0</v>
      </c>
      <c r="Y10" s="642"/>
      <c r="Z10" s="642"/>
      <c r="AA10" s="642"/>
      <c r="AB10" s="642"/>
      <c r="AC10" s="647">
        <v>1721.12</v>
      </c>
      <c r="AD10" s="651">
        <v>0</v>
      </c>
      <c r="AE10" s="65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22"/>
      <c r="BN10" s="622"/>
      <c r="BO10" s="622"/>
      <c r="BP10" s="622"/>
      <c r="BQ10" s="622"/>
      <c r="BR10" s="622"/>
      <c r="BS10" s="622"/>
      <c r="BT10" s="622"/>
      <c r="BU10" s="622"/>
      <c r="BV10" s="622"/>
      <c r="BW10" s="622"/>
      <c r="BX10" s="622"/>
      <c r="BY10" s="622"/>
      <c r="BZ10" s="622"/>
      <c r="CA10" s="622"/>
      <c r="CB10" s="622"/>
      <c r="CC10" s="622"/>
      <c r="CD10" s="622"/>
      <c r="CE10" s="622"/>
      <c r="CF10" s="622"/>
      <c r="CG10" s="622"/>
      <c r="CH10" s="622"/>
      <c r="CI10" s="622"/>
      <c r="CJ10" s="622"/>
      <c r="CK10" s="622"/>
      <c r="CL10" s="622"/>
      <c r="CM10" s="622"/>
      <c r="CN10" s="622"/>
      <c r="CO10" s="622"/>
      <c r="CP10" s="622"/>
      <c r="CQ10" s="622"/>
      <c r="CR10" s="622"/>
      <c r="CS10" s="622"/>
      <c r="CT10" s="622"/>
      <c r="CU10" s="622"/>
      <c r="CV10" s="622"/>
      <c r="CW10" s="622"/>
      <c r="CX10" s="622"/>
      <c r="CY10" s="622"/>
      <c r="CZ10" s="622"/>
      <c r="DA10" s="622"/>
      <c r="DB10" s="622"/>
      <c r="DC10" s="622"/>
      <c r="DD10" s="622"/>
      <c r="DE10" s="622"/>
      <c r="DF10" s="622"/>
      <c r="DG10" s="622"/>
      <c r="DH10" s="622"/>
      <c r="DI10" s="622"/>
      <c r="DJ10" s="622"/>
      <c r="DK10" s="622"/>
      <c r="DL10" s="622"/>
      <c r="DM10" s="622"/>
      <c r="DN10" s="622"/>
      <c r="DO10" s="622"/>
      <c r="DP10" s="622"/>
      <c r="DQ10" s="622"/>
      <c r="DR10" s="622"/>
      <c r="DS10" s="622"/>
      <c r="DT10" s="622"/>
      <c r="DU10" s="622"/>
      <c r="DV10" s="622"/>
      <c r="DW10" s="622"/>
      <c r="DX10" s="622"/>
      <c r="DY10" s="622"/>
      <c r="DZ10" s="622"/>
      <c r="EA10" s="622"/>
      <c r="EB10" s="622"/>
      <c r="EC10" s="622"/>
      <c r="ED10" s="622"/>
      <c r="EE10" s="622"/>
      <c r="EF10" s="622"/>
      <c r="EG10" s="622"/>
      <c r="EH10" s="622"/>
      <c r="EI10" s="622"/>
      <c r="EJ10" s="622"/>
      <c r="EK10" s="622"/>
      <c r="EL10" s="622"/>
      <c r="EM10" s="622"/>
      <c r="EN10" s="622"/>
      <c r="EO10" s="622"/>
      <c r="EP10" s="622"/>
      <c r="EQ10" s="622"/>
      <c r="ER10" s="622"/>
      <c r="ES10" s="622"/>
      <c r="ET10" s="622"/>
      <c r="EU10" s="622"/>
      <c r="EV10" s="622"/>
      <c r="EW10" s="622"/>
      <c r="EX10" s="622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2"/>
      <c r="FL10" s="622"/>
      <c r="FM10" s="622"/>
      <c r="FN10" s="622"/>
      <c r="FO10" s="622"/>
      <c r="FP10" s="622"/>
      <c r="FQ10" s="622"/>
      <c r="FR10" s="622"/>
      <c r="FS10" s="622"/>
      <c r="FT10" s="622"/>
      <c r="FU10" s="622"/>
      <c r="FV10" s="622"/>
      <c r="FW10" s="622"/>
      <c r="FX10" s="622"/>
      <c r="FY10" s="622"/>
      <c r="FZ10" s="622"/>
      <c r="GA10" s="622"/>
      <c r="GB10" s="622"/>
      <c r="GC10" s="622"/>
      <c r="GD10" s="622"/>
      <c r="GE10" s="622"/>
      <c r="GF10" s="622"/>
      <c r="GG10" s="622"/>
      <c r="GH10" s="622"/>
      <c r="GI10" s="622"/>
      <c r="GJ10" s="622"/>
      <c r="GK10" s="622"/>
      <c r="GL10" s="622"/>
      <c r="GM10" s="622"/>
      <c r="GN10" s="622"/>
      <c r="GO10" s="622"/>
      <c r="GP10" s="622"/>
      <c r="GQ10" s="622"/>
      <c r="GR10" s="622"/>
      <c r="GS10" s="622"/>
    </row>
    <row r="11" spans="1:201" s="418" customFormat="1" ht="21.75" customHeight="1">
      <c r="A11" s="942" t="s">
        <v>473</v>
      </c>
      <c r="B11" s="630" t="s">
        <v>474</v>
      </c>
      <c r="C11" s="631" t="s">
        <v>150</v>
      </c>
      <c r="D11" s="630"/>
      <c r="E11" s="630"/>
      <c r="F11" s="632">
        <v>15.48</v>
      </c>
      <c r="G11" s="630"/>
      <c r="H11" s="630">
        <f t="shared" si="0"/>
        <v>15.48</v>
      </c>
      <c r="I11" s="640">
        <v>4530</v>
      </c>
      <c r="J11" s="640">
        <v>63</v>
      </c>
      <c r="K11" s="640">
        <v>10380</v>
      </c>
      <c r="L11" s="640">
        <v>31</v>
      </c>
      <c r="M11" s="640">
        <f t="shared" si="1"/>
        <v>14910</v>
      </c>
      <c r="N11" s="640">
        <f t="shared" si="1"/>
        <v>94</v>
      </c>
      <c r="O11" s="640">
        <f t="shared" si="2"/>
        <v>282</v>
      </c>
      <c r="P11" s="640">
        <f t="shared" si="3"/>
        <v>282</v>
      </c>
      <c r="Q11" s="647"/>
      <c r="R11" s="642">
        <v>3</v>
      </c>
      <c r="S11" s="642"/>
      <c r="T11" s="642">
        <f t="shared" si="4"/>
        <v>3</v>
      </c>
      <c r="U11" s="642"/>
      <c r="V11" s="642"/>
      <c r="W11" s="642"/>
      <c r="X11" s="642">
        <f t="shared" si="5"/>
        <v>63</v>
      </c>
      <c r="Y11" s="642"/>
      <c r="Z11" s="642">
        <v>4</v>
      </c>
      <c r="AA11" s="642"/>
      <c r="AB11" s="642"/>
      <c r="AC11" s="647">
        <v>2251.27</v>
      </c>
      <c r="AD11" s="651">
        <v>5.54</v>
      </c>
      <c r="AE11" s="652"/>
      <c r="AF11" s="622"/>
      <c r="AG11" s="622"/>
      <c r="AH11" s="622"/>
      <c r="AI11" s="622"/>
      <c r="AJ11" s="622"/>
      <c r="AK11" s="622"/>
      <c r="AL11" s="622"/>
      <c r="AM11" s="622"/>
      <c r="AN11" s="622"/>
      <c r="AO11" s="622"/>
      <c r="AP11" s="622"/>
      <c r="AQ11" s="622"/>
      <c r="AR11" s="622"/>
      <c r="AS11" s="622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  <c r="BK11" s="622"/>
      <c r="BL11" s="622"/>
      <c r="BM11" s="622"/>
      <c r="BN11" s="622"/>
      <c r="BO11" s="622"/>
      <c r="BP11" s="622"/>
      <c r="BQ11" s="622"/>
      <c r="BR11" s="622"/>
      <c r="BS11" s="622"/>
      <c r="BT11" s="622"/>
      <c r="BU11" s="622"/>
      <c r="BV11" s="622"/>
      <c r="BW11" s="622"/>
      <c r="BX11" s="622"/>
      <c r="BY11" s="622"/>
      <c r="BZ11" s="622"/>
      <c r="CA11" s="622"/>
      <c r="CB11" s="622"/>
      <c r="CC11" s="622"/>
      <c r="CD11" s="622"/>
      <c r="CE11" s="622"/>
      <c r="CF11" s="622"/>
      <c r="CG11" s="622"/>
      <c r="CH11" s="622"/>
      <c r="CI11" s="622"/>
      <c r="CJ11" s="622"/>
      <c r="CK11" s="622"/>
      <c r="CL11" s="622"/>
      <c r="CM11" s="622"/>
      <c r="CN11" s="622"/>
      <c r="CO11" s="622"/>
      <c r="CP11" s="622"/>
      <c r="CQ11" s="622"/>
      <c r="CR11" s="622"/>
      <c r="CS11" s="622"/>
      <c r="CT11" s="622"/>
      <c r="CU11" s="622"/>
      <c r="CV11" s="622"/>
      <c r="CW11" s="622"/>
      <c r="CX11" s="622"/>
      <c r="CY11" s="622"/>
      <c r="CZ11" s="622"/>
      <c r="DA11" s="622"/>
      <c r="DB11" s="622"/>
      <c r="DC11" s="622"/>
      <c r="DD11" s="622"/>
      <c r="DE11" s="622"/>
      <c r="DF11" s="622"/>
      <c r="DG11" s="622"/>
      <c r="DH11" s="622"/>
      <c r="DI11" s="622"/>
      <c r="DJ11" s="622"/>
      <c r="DK11" s="622"/>
      <c r="DL11" s="622"/>
      <c r="DM11" s="622"/>
      <c r="DN11" s="622"/>
      <c r="DO11" s="622"/>
      <c r="DP11" s="622"/>
      <c r="DQ11" s="622"/>
      <c r="DR11" s="622"/>
      <c r="DS11" s="622"/>
      <c r="DT11" s="622"/>
      <c r="DU11" s="622"/>
      <c r="DV11" s="622"/>
      <c r="DW11" s="622"/>
      <c r="DX11" s="622"/>
      <c r="DY11" s="622"/>
      <c r="DZ11" s="622"/>
      <c r="EA11" s="622"/>
      <c r="EB11" s="622"/>
      <c r="EC11" s="622"/>
      <c r="ED11" s="622"/>
      <c r="EE11" s="622"/>
      <c r="EF11" s="622"/>
      <c r="EG11" s="622"/>
      <c r="EH11" s="622"/>
      <c r="EI11" s="622"/>
      <c r="EJ11" s="622"/>
      <c r="EK11" s="622"/>
      <c r="EL11" s="622"/>
      <c r="EM11" s="622"/>
      <c r="EN11" s="622"/>
      <c r="EO11" s="622"/>
      <c r="EP11" s="622"/>
      <c r="EQ11" s="622"/>
      <c r="ER11" s="622"/>
      <c r="ES11" s="622"/>
      <c r="ET11" s="622"/>
      <c r="EU11" s="622"/>
      <c r="EV11" s="622"/>
      <c r="EW11" s="622"/>
      <c r="EX11" s="622"/>
      <c r="EY11" s="622"/>
      <c r="EZ11" s="622"/>
      <c r="FA11" s="622"/>
      <c r="FB11" s="622"/>
      <c r="FC11" s="622"/>
      <c r="FD11" s="622"/>
      <c r="FE11" s="622"/>
      <c r="FF11" s="622"/>
      <c r="FG11" s="622"/>
      <c r="FH11" s="622"/>
      <c r="FI11" s="622"/>
      <c r="FJ11" s="622"/>
      <c r="FK11" s="622"/>
      <c r="FL11" s="622"/>
      <c r="FM11" s="622"/>
      <c r="FN11" s="622"/>
      <c r="FO11" s="622"/>
      <c r="FP11" s="622"/>
      <c r="FQ11" s="622"/>
      <c r="FR11" s="622"/>
      <c r="FS11" s="622"/>
      <c r="FT11" s="622"/>
      <c r="FU11" s="622"/>
      <c r="FV11" s="622"/>
      <c r="FW11" s="622"/>
      <c r="FX11" s="622"/>
      <c r="FY11" s="622"/>
      <c r="FZ11" s="622"/>
      <c r="GA11" s="622"/>
      <c r="GB11" s="622"/>
      <c r="GC11" s="622"/>
      <c r="GD11" s="622"/>
      <c r="GE11" s="622"/>
      <c r="GF11" s="622"/>
      <c r="GG11" s="622"/>
      <c r="GH11" s="622"/>
      <c r="GI11" s="622"/>
      <c r="GJ11" s="622"/>
      <c r="GK11" s="622"/>
      <c r="GL11" s="622"/>
      <c r="GM11" s="622"/>
      <c r="GN11" s="622"/>
      <c r="GO11" s="622"/>
      <c r="GP11" s="622"/>
      <c r="GQ11" s="622"/>
      <c r="GR11" s="622"/>
      <c r="GS11" s="622"/>
    </row>
    <row r="12" spans="1:201" s="418" customFormat="1" ht="21.75" customHeight="1">
      <c r="A12" s="942" t="s">
        <v>475</v>
      </c>
      <c r="B12" s="630" t="s">
        <v>476</v>
      </c>
      <c r="C12" s="631" t="s">
        <v>150</v>
      </c>
      <c r="D12" s="630"/>
      <c r="E12" s="630"/>
      <c r="F12" s="630">
        <v>3.97</v>
      </c>
      <c r="G12" s="630"/>
      <c r="H12" s="630">
        <f t="shared" si="0"/>
        <v>3.97</v>
      </c>
      <c r="I12" s="640">
        <v>8583</v>
      </c>
      <c r="J12" s="640">
        <v>36</v>
      </c>
      <c r="K12" s="640">
        <v>6960</v>
      </c>
      <c r="L12" s="640">
        <v>29</v>
      </c>
      <c r="M12" s="640">
        <f t="shared" si="1"/>
        <v>15543</v>
      </c>
      <c r="N12" s="640">
        <f t="shared" si="1"/>
        <v>65</v>
      </c>
      <c r="O12" s="640">
        <f t="shared" si="2"/>
        <v>195</v>
      </c>
      <c r="P12" s="640">
        <f t="shared" si="3"/>
        <v>195</v>
      </c>
      <c r="Q12" s="647"/>
      <c r="R12" s="642">
        <v>2</v>
      </c>
      <c r="S12" s="642"/>
      <c r="T12" s="642">
        <f t="shared" si="4"/>
        <v>2</v>
      </c>
      <c r="W12" s="642"/>
      <c r="X12" s="642">
        <f t="shared" si="5"/>
        <v>36</v>
      </c>
      <c r="Y12" s="642"/>
      <c r="Z12" s="642">
        <v>6</v>
      </c>
      <c r="AA12" s="642"/>
      <c r="AB12" s="642"/>
      <c r="AC12" s="647">
        <v>861.15</v>
      </c>
      <c r="AD12" s="651">
        <v>5.54</v>
      </c>
      <c r="AE12" s="652"/>
      <c r="AF12" s="622"/>
      <c r="AG12" s="622"/>
      <c r="AH12" s="622"/>
      <c r="AI12" s="622"/>
      <c r="AJ12" s="622"/>
      <c r="AK12" s="622"/>
      <c r="AL12" s="622"/>
      <c r="AM12" s="622"/>
      <c r="AN12" s="622"/>
      <c r="AO12" s="622"/>
      <c r="AP12" s="622"/>
      <c r="AQ12" s="622"/>
      <c r="AR12" s="622"/>
      <c r="AS12" s="622"/>
      <c r="AT12" s="622"/>
      <c r="AU12" s="622"/>
      <c r="AV12" s="622"/>
      <c r="AW12" s="622"/>
      <c r="AX12" s="622"/>
      <c r="AY12" s="622"/>
      <c r="AZ12" s="622"/>
      <c r="BA12" s="622"/>
      <c r="BB12" s="622"/>
      <c r="BC12" s="622"/>
      <c r="BD12" s="622"/>
      <c r="BE12" s="622"/>
      <c r="BF12" s="622"/>
      <c r="BG12" s="622"/>
      <c r="BH12" s="622"/>
      <c r="BI12" s="622"/>
      <c r="BJ12" s="622"/>
      <c r="BK12" s="622"/>
      <c r="BL12" s="622"/>
      <c r="BM12" s="622"/>
      <c r="BN12" s="622"/>
      <c r="BO12" s="622"/>
      <c r="BP12" s="622"/>
      <c r="BQ12" s="622"/>
      <c r="BR12" s="622"/>
      <c r="BS12" s="622"/>
      <c r="BT12" s="622"/>
      <c r="BU12" s="622"/>
      <c r="BV12" s="622"/>
      <c r="BW12" s="622"/>
      <c r="BX12" s="622"/>
      <c r="BY12" s="622"/>
      <c r="BZ12" s="622"/>
      <c r="CA12" s="622"/>
      <c r="CB12" s="622"/>
      <c r="CC12" s="622"/>
      <c r="CD12" s="622"/>
      <c r="CE12" s="622"/>
      <c r="CF12" s="622"/>
      <c r="CG12" s="622"/>
      <c r="CH12" s="622"/>
      <c r="CI12" s="622"/>
      <c r="CJ12" s="622"/>
      <c r="CK12" s="622"/>
      <c r="CL12" s="622"/>
      <c r="CM12" s="622"/>
      <c r="CN12" s="622"/>
      <c r="CO12" s="622"/>
      <c r="CP12" s="622"/>
      <c r="CQ12" s="622"/>
      <c r="CR12" s="622"/>
      <c r="CS12" s="622"/>
      <c r="CT12" s="622"/>
      <c r="CU12" s="622"/>
      <c r="CV12" s="622"/>
      <c r="CW12" s="622"/>
      <c r="CX12" s="622"/>
      <c r="CY12" s="622"/>
      <c r="CZ12" s="622"/>
      <c r="DA12" s="622"/>
      <c r="DB12" s="622"/>
      <c r="DC12" s="622"/>
      <c r="DD12" s="622"/>
      <c r="DE12" s="622"/>
      <c r="DF12" s="622"/>
      <c r="DG12" s="622"/>
      <c r="DH12" s="622"/>
      <c r="DI12" s="622"/>
      <c r="DJ12" s="622"/>
      <c r="DK12" s="622"/>
      <c r="DL12" s="622"/>
      <c r="DM12" s="622"/>
      <c r="DN12" s="622"/>
      <c r="DO12" s="622"/>
      <c r="DP12" s="622"/>
      <c r="DQ12" s="622"/>
      <c r="DR12" s="622"/>
      <c r="DS12" s="622"/>
      <c r="DT12" s="622"/>
      <c r="DU12" s="622"/>
      <c r="DV12" s="622"/>
      <c r="DW12" s="622"/>
      <c r="DX12" s="622"/>
      <c r="DY12" s="622"/>
      <c r="DZ12" s="622"/>
      <c r="EA12" s="622"/>
      <c r="EB12" s="622"/>
      <c r="EC12" s="622"/>
      <c r="ED12" s="622"/>
      <c r="EE12" s="622"/>
      <c r="EF12" s="622"/>
      <c r="EG12" s="622"/>
      <c r="EH12" s="622"/>
      <c r="EI12" s="622"/>
      <c r="EJ12" s="622"/>
      <c r="EK12" s="622"/>
      <c r="EL12" s="622"/>
      <c r="EM12" s="622"/>
      <c r="EN12" s="622"/>
      <c r="EO12" s="622"/>
      <c r="EP12" s="622"/>
      <c r="EQ12" s="622"/>
      <c r="ER12" s="622"/>
      <c r="ES12" s="622"/>
      <c r="ET12" s="622"/>
      <c r="EU12" s="622"/>
      <c r="EV12" s="622"/>
      <c r="EW12" s="622"/>
      <c r="EX12" s="622"/>
      <c r="EY12" s="622"/>
      <c r="EZ12" s="622"/>
      <c r="FA12" s="622"/>
      <c r="FB12" s="622"/>
      <c r="FC12" s="622"/>
      <c r="FD12" s="622"/>
      <c r="FE12" s="622"/>
      <c r="FF12" s="622"/>
      <c r="FG12" s="622"/>
      <c r="FH12" s="622"/>
      <c r="FI12" s="622"/>
      <c r="FJ12" s="622"/>
      <c r="FK12" s="622"/>
      <c r="FL12" s="622"/>
      <c r="FM12" s="622"/>
      <c r="FN12" s="622"/>
      <c r="FO12" s="622"/>
      <c r="FP12" s="622"/>
      <c r="FQ12" s="622"/>
      <c r="FR12" s="622"/>
      <c r="FS12" s="622"/>
      <c r="FT12" s="622"/>
      <c r="FU12" s="622"/>
      <c r="FV12" s="622"/>
      <c r="FW12" s="622"/>
      <c r="FX12" s="622"/>
      <c r="FY12" s="622"/>
      <c r="FZ12" s="622"/>
      <c r="GA12" s="622"/>
      <c r="GB12" s="622"/>
      <c r="GC12" s="622"/>
      <c r="GD12" s="622"/>
      <c r="GE12" s="622"/>
      <c r="GF12" s="622"/>
      <c r="GG12" s="622"/>
      <c r="GH12" s="622"/>
      <c r="GI12" s="622"/>
      <c r="GJ12" s="622"/>
      <c r="GK12" s="622"/>
      <c r="GL12" s="622"/>
      <c r="GM12" s="622"/>
      <c r="GN12" s="622"/>
      <c r="GO12" s="622"/>
      <c r="GP12" s="622"/>
      <c r="GQ12" s="622"/>
      <c r="GR12" s="622"/>
      <c r="GS12" s="622"/>
    </row>
    <row r="13" spans="1:201" s="418" customFormat="1" ht="21.75" customHeight="1">
      <c r="A13" s="942" t="s">
        <v>477</v>
      </c>
      <c r="B13" s="630" t="s">
        <v>478</v>
      </c>
      <c r="C13" s="631" t="s">
        <v>150</v>
      </c>
      <c r="D13" s="630"/>
      <c r="E13" s="631"/>
      <c r="F13" s="630">
        <v>7.01</v>
      </c>
      <c r="G13" s="630"/>
      <c r="H13" s="630">
        <f t="shared" si="0"/>
        <v>7.01</v>
      </c>
      <c r="I13" s="640">
        <v>2645</v>
      </c>
      <c r="J13" s="640">
        <v>12</v>
      </c>
      <c r="K13" s="640">
        <v>7735</v>
      </c>
      <c r="L13" s="640">
        <v>32</v>
      </c>
      <c r="M13" s="640">
        <f t="shared" si="1"/>
        <v>10380</v>
      </c>
      <c r="N13" s="640">
        <f t="shared" si="1"/>
        <v>44</v>
      </c>
      <c r="O13" s="640">
        <f t="shared" si="2"/>
        <v>132</v>
      </c>
      <c r="P13" s="640">
        <f t="shared" si="3"/>
        <v>132</v>
      </c>
      <c r="Q13" s="647"/>
      <c r="R13" s="642">
        <v>1</v>
      </c>
      <c r="S13" s="642"/>
      <c r="T13" s="642">
        <f t="shared" si="4"/>
        <v>1</v>
      </c>
      <c r="U13" s="642"/>
      <c r="V13" s="642"/>
      <c r="W13" s="642"/>
      <c r="X13" s="642">
        <f t="shared" si="5"/>
        <v>12</v>
      </c>
      <c r="Y13" s="642"/>
      <c r="Z13" s="642"/>
      <c r="AA13" s="642"/>
      <c r="AB13" s="642"/>
      <c r="AC13" s="647">
        <v>1600.6384</v>
      </c>
      <c r="AD13" s="651">
        <v>6.41</v>
      </c>
      <c r="AE13" s="65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2"/>
      <c r="BB13" s="622"/>
      <c r="BC13" s="622"/>
      <c r="BD13" s="622"/>
      <c r="BE13" s="622"/>
      <c r="BF13" s="622"/>
      <c r="BG13" s="622"/>
      <c r="BH13" s="622"/>
      <c r="BI13" s="622"/>
      <c r="BJ13" s="622"/>
      <c r="BK13" s="622"/>
      <c r="BL13" s="622"/>
      <c r="BM13" s="622"/>
      <c r="BN13" s="622"/>
      <c r="BO13" s="622"/>
      <c r="BP13" s="622"/>
      <c r="BQ13" s="622"/>
      <c r="BR13" s="622"/>
      <c r="BS13" s="622"/>
      <c r="BT13" s="622"/>
      <c r="BU13" s="622"/>
      <c r="BV13" s="622"/>
      <c r="BW13" s="622"/>
      <c r="BX13" s="622"/>
      <c r="BY13" s="622"/>
      <c r="BZ13" s="622"/>
      <c r="CA13" s="622"/>
      <c r="CB13" s="622"/>
      <c r="CC13" s="622"/>
      <c r="CD13" s="622"/>
      <c r="CE13" s="622"/>
      <c r="CF13" s="622"/>
      <c r="CG13" s="622"/>
      <c r="CH13" s="622"/>
      <c r="CI13" s="622"/>
      <c r="CJ13" s="622"/>
      <c r="CK13" s="622"/>
      <c r="CL13" s="622"/>
      <c r="CM13" s="622"/>
      <c r="CN13" s="622"/>
      <c r="CO13" s="622"/>
      <c r="CP13" s="622"/>
      <c r="CQ13" s="622"/>
      <c r="CR13" s="622"/>
      <c r="CS13" s="622"/>
      <c r="CT13" s="622"/>
      <c r="CU13" s="622"/>
      <c r="CV13" s="622"/>
      <c r="CW13" s="622"/>
      <c r="CX13" s="622"/>
      <c r="CY13" s="622"/>
      <c r="CZ13" s="622"/>
      <c r="DA13" s="622"/>
      <c r="DB13" s="622"/>
      <c r="DC13" s="622"/>
      <c r="DD13" s="622"/>
      <c r="DE13" s="622"/>
      <c r="DF13" s="622"/>
      <c r="DG13" s="622"/>
      <c r="DH13" s="622"/>
      <c r="DI13" s="622"/>
      <c r="DJ13" s="622"/>
      <c r="DK13" s="622"/>
      <c r="DL13" s="622"/>
      <c r="DM13" s="622"/>
      <c r="DN13" s="622"/>
      <c r="DO13" s="622"/>
      <c r="DP13" s="622"/>
      <c r="DQ13" s="622"/>
      <c r="DR13" s="622"/>
      <c r="DS13" s="622"/>
      <c r="DT13" s="622"/>
      <c r="DU13" s="622"/>
      <c r="DV13" s="622"/>
      <c r="DW13" s="622"/>
      <c r="DX13" s="622"/>
      <c r="DY13" s="622"/>
      <c r="DZ13" s="622"/>
      <c r="EA13" s="622"/>
      <c r="EB13" s="622"/>
      <c r="EC13" s="622"/>
      <c r="ED13" s="622"/>
      <c r="EE13" s="622"/>
      <c r="EF13" s="622"/>
      <c r="EG13" s="622"/>
      <c r="EH13" s="622"/>
      <c r="EI13" s="622"/>
      <c r="EJ13" s="622"/>
      <c r="EK13" s="622"/>
      <c r="EL13" s="622"/>
      <c r="EM13" s="622"/>
      <c r="EN13" s="622"/>
      <c r="EO13" s="622"/>
      <c r="EP13" s="622"/>
      <c r="EQ13" s="622"/>
      <c r="ER13" s="622"/>
      <c r="ES13" s="622"/>
      <c r="ET13" s="622"/>
      <c r="EU13" s="622"/>
      <c r="EV13" s="622"/>
      <c r="EW13" s="622"/>
      <c r="EX13" s="622"/>
      <c r="EY13" s="622"/>
      <c r="EZ13" s="622"/>
      <c r="FA13" s="622"/>
      <c r="FB13" s="622"/>
      <c r="FC13" s="622"/>
      <c r="FD13" s="622"/>
      <c r="FE13" s="622"/>
      <c r="FF13" s="622"/>
      <c r="FG13" s="622"/>
      <c r="FH13" s="622"/>
      <c r="FI13" s="622"/>
      <c r="FJ13" s="622"/>
      <c r="FK13" s="622"/>
      <c r="FL13" s="622"/>
      <c r="FM13" s="622"/>
      <c r="FN13" s="622"/>
      <c r="FO13" s="622"/>
      <c r="FP13" s="622"/>
      <c r="FQ13" s="622"/>
      <c r="FR13" s="622"/>
      <c r="FS13" s="622"/>
      <c r="FT13" s="622"/>
      <c r="FU13" s="622"/>
      <c r="FV13" s="622"/>
      <c r="FW13" s="622"/>
      <c r="FX13" s="622"/>
      <c r="FY13" s="622"/>
      <c r="FZ13" s="622"/>
      <c r="GA13" s="622"/>
      <c r="GB13" s="622"/>
      <c r="GC13" s="622"/>
      <c r="GD13" s="622"/>
      <c r="GE13" s="622"/>
      <c r="GF13" s="622"/>
      <c r="GG13" s="622"/>
      <c r="GH13" s="622"/>
      <c r="GI13" s="622"/>
      <c r="GJ13" s="622"/>
      <c r="GK13" s="622"/>
      <c r="GL13" s="622"/>
      <c r="GM13" s="622"/>
      <c r="GN13" s="622"/>
      <c r="GO13" s="622"/>
      <c r="GP13" s="622"/>
      <c r="GQ13" s="622"/>
      <c r="GR13" s="622"/>
      <c r="GS13" s="622"/>
    </row>
    <row r="14" spans="1:201" s="418" customFormat="1" ht="21.75" customHeight="1">
      <c r="A14" s="942" t="s">
        <v>479</v>
      </c>
      <c r="B14" s="630" t="s">
        <v>480</v>
      </c>
      <c r="C14" s="631"/>
      <c r="D14" s="630" t="s">
        <v>150</v>
      </c>
      <c r="E14" s="631"/>
      <c r="F14" s="630">
        <v>78.78</v>
      </c>
      <c r="G14" s="630"/>
      <c r="H14" s="630">
        <f t="shared" si="0"/>
        <v>78.78</v>
      </c>
      <c r="I14" s="640">
        <v>1870</v>
      </c>
      <c r="J14" s="640">
        <v>38</v>
      </c>
      <c r="K14" s="640">
        <v>4580</v>
      </c>
      <c r="L14" s="640">
        <v>25</v>
      </c>
      <c r="M14" s="640">
        <f t="shared" si="1"/>
        <v>6450</v>
      </c>
      <c r="N14" s="640">
        <f t="shared" si="1"/>
        <v>63</v>
      </c>
      <c r="O14" s="640">
        <f t="shared" si="2"/>
        <v>189</v>
      </c>
      <c r="P14" s="640">
        <f t="shared" si="3"/>
        <v>189</v>
      </c>
      <c r="Q14" s="647"/>
      <c r="R14" s="642">
        <v>1</v>
      </c>
      <c r="S14" s="642"/>
      <c r="T14" s="642">
        <f t="shared" si="4"/>
        <v>1</v>
      </c>
      <c r="U14" s="642">
        <v>600</v>
      </c>
      <c r="V14" s="642">
        <v>2</v>
      </c>
      <c r="W14" s="642"/>
      <c r="X14" s="642">
        <f t="shared" si="5"/>
        <v>38</v>
      </c>
      <c r="Y14" s="642"/>
      <c r="Z14" s="642"/>
      <c r="AA14" s="642"/>
      <c r="AB14" s="642"/>
      <c r="AC14" s="647">
        <v>1285.7709</v>
      </c>
      <c r="AD14" s="651">
        <v>5.72</v>
      </c>
      <c r="AE14" s="65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  <c r="BK14" s="622"/>
      <c r="BL14" s="622"/>
      <c r="BM14" s="622"/>
      <c r="BN14" s="622"/>
      <c r="BO14" s="622"/>
      <c r="BP14" s="622"/>
      <c r="BQ14" s="622"/>
      <c r="BR14" s="622"/>
      <c r="BS14" s="622"/>
      <c r="BT14" s="622"/>
      <c r="BU14" s="622"/>
      <c r="BV14" s="622"/>
      <c r="BW14" s="622"/>
      <c r="BX14" s="622"/>
      <c r="BY14" s="622"/>
      <c r="BZ14" s="622"/>
      <c r="CA14" s="622"/>
      <c r="CB14" s="622"/>
      <c r="CC14" s="622"/>
      <c r="CD14" s="622"/>
      <c r="CE14" s="622"/>
      <c r="CF14" s="622"/>
      <c r="CG14" s="622"/>
      <c r="CH14" s="622"/>
      <c r="CI14" s="622"/>
      <c r="CJ14" s="622"/>
      <c r="CK14" s="622"/>
      <c r="CL14" s="622"/>
      <c r="CM14" s="622"/>
      <c r="CN14" s="622"/>
      <c r="CO14" s="622"/>
      <c r="CP14" s="622"/>
      <c r="CQ14" s="622"/>
      <c r="CR14" s="622"/>
      <c r="CS14" s="622"/>
      <c r="CT14" s="622"/>
      <c r="CU14" s="622"/>
      <c r="CV14" s="622"/>
      <c r="CW14" s="622"/>
      <c r="CX14" s="622"/>
      <c r="CY14" s="622"/>
      <c r="CZ14" s="622"/>
      <c r="DA14" s="622"/>
      <c r="DB14" s="622"/>
      <c r="DC14" s="622"/>
      <c r="DD14" s="622"/>
      <c r="DE14" s="622"/>
      <c r="DF14" s="622"/>
      <c r="DG14" s="622"/>
      <c r="DH14" s="622"/>
      <c r="DI14" s="622"/>
      <c r="DJ14" s="622"/>
      <c r="DK14" s="622"/>
      <c r="DL14" s="622"/>
      <c r="DM14" s="622"/>
      <c r="DN14" s="622"/>
      <c r="DO14" s="622"/>
      <c r="DP14" s="622"/>
      <c r="DQ14" s="622"/>
      <c r="DR14" s="622"/>
      <c r="DS14" s="622"/>
      <c r="DT14" s="622"/>
      <c r="DU14" s="622"/>
      <c r="DV14" s="622"/>
      <c r="DW14" s="622"/>
      <c r="DX14" s="622"/>
      <c r="DY14" s="622"/>
      <c r="DZ14" s="622"/>
      <c r="EA14" s="622"/>
      <c r="EB14" s="622"/>
      <c r="EC14" s="622"/>
      <c r="ED14" s="622"/>
      <c r="EE14" s="622"/>
      <c r="EF14" s="622"/>
      <c r="EG14" s="622"/>
      <c r="EH14" s="622"/>
      <c r="EI14" s="622"/>
      <c r="EJ14" s="622"/>
      <c r="EK14" s="622"/>
      <c r="EL14" s="622"/>
      <c r="EM14" s="622"/>
      <c r="EN14" s="622"/>
      <c r="EO14" s="622"/>
      <c r="EP14" s="622"/>
      <c r="EQ14" s="622"/>
      <c r="ER14" s="622"/>
      <c r="ES14" s="622"/>
      <c r="ET14" s="622"/>
      <c r="EU14" s="622"/>
      <c r="EV14" s="622"/>
      <c r="EW14" s="622"/>
      <c r="EX14" s="622"/>
      <c r="EY14" s="622"/>
      <c r="EZ14" s="622"/>
      <c r="FA14" s="622"/>
      <c r="FB14" s="622"/>
      <c r="FC14" s="622"/>
      <c r="FD14" s="622"/>
      <c r="FE14" s="622"/>
      <c r="FF14" s="622"/>
      <c r="FG14" s="622"/>
      <c r="FH14" s="622"/>
      <c r="FI14" s="622"/>
      <c r="FJ14" s="622"/>
      <c r="FK14" s="622"/>
      <c r="FL14" s="622"/>
      <c r="FM14" s="622"/>
      <c r="FN14" s="622"/>
      <c r="FO14" s="622"/>
      <c r="FP14" s="622"/>
      <c r="FQ14" s="622"/>
      <c r="FR14" s="622"/>
      <c r="FS14" s="622"/>
      <c r="FT14" s="622"/>
      <c r="FU14" s="622"/>
      <c r="FV14" s="622"/>
      <c r="FW14" s="622"/>
      <c r="FX14" s="622"/>
      <c r="FY14" s="622"/>
      <c r="FZ14" s="622"/>
      <c r="GA14" s="622"/>
      <c r="GB14" s="622"/>
      <c r="GC14" s="622"/>
      <c r="GD14" s="622"/>
      <c r="GE14" s="622"/>
      <c r="GF14" s="622"/>
      <c r="GG14" s="622"/>
      <c r="GH14" s="622"/>
      <c r="GI14" s="622"/>
      <c r="GJ14" s="622"/>
      <c r="GK14" s="622"/>
      <c r="GL14" s="622"/>
      <c r="GM14" s="622"/>
      <c r="GN14" s="622"/>
      <c r="GO14" s="622"/>
      <c r="GP14" s="622"/>
      <c r="GQ14" s="622"/>
      <c r="GR14" s="622"/>
      <c r="GS14" s="622"/>
    </row>
    <row r="15" spans="1:201" s="418" customFormat="1" ht="21.75" customHeight="1">
      <c r="A15" s="942" t="s">
        <v>481</v>
      </c>
      <c r="B15" s="630" t="s">
        <v>482</v>
      </c>
      <c r="C15" s="631"/>
      <c r="D15" s="630"/>
      <c r="E15" s="630" t="s">
        <v>150</v>
      </c>
      <c r="F15" s="630"/>
      <c r="G15" s="630">
        <v>36.16</v>
      </c>
      <c r="H15" s="630">
        <f t="shared" si="0"/>
        <v>36.16</v>
      </c>
      <c r="I15" s="640"/>
      <c r="J15" s="640"/>
      <c r="K15" s="640">
        <v>5015</v>
      </c>
      <c r="L15" s="640">
        <v>16</v>
      </c>
      <c r="M15" s="640">
        <f t="shared" si="1"/>
        <v>5015</v>
      </c>
      <c r="N15" s="640">
        <f t="shared" si="1"/>
        <v>16</v>
      </c>
      <c r="O15" s="640">
        <f t="shared" si="2"/>
        <v>48</v>
      </c>
      <c r="P15" s="640">
        <f t="shared" si="3"/>
        <v>48</v>
      </c>
      <c r="Q15" s="647"/>
      <c r="R15" s="642"/>
      <c r="S15" s="642"/>
      <c r="T15" s="642">
        <f t="shared" si="4"/>
        <v>0</v>
      </c>
      <c r="U15" s="642"/>
      <c r="V15" s="642"/>
      <c r="W15" s="642"/>
      <c r="X15" s="642">
        <f t="shared" si="5"/>
        <v>0</v>
      </c>
      <c r="Y15" s="642"/>
      <c r="Z15" s="642">
        <v>2</v>
      </c>
      <c r="AA15" s="642"/>
      <c r="AB15" s="642"/>
      <c r="AC15" s="647">
        <v>279.3492</v>
      </c>
      <c r="AD15" s="651">
        <v>0</v>
      </c>
      <c r="AE15" s="652"/>
      <c r="AF15" s="622"/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2"/>
      <c r="AS15" s="622"/>
      <c r="AT15" s="622"/>
      <c r="AU15" s="622"/>
      <c r="AV15" s="622"/>
      <c r="AW15" s="622"/>
      <c r="AX15" s="622"/>
      <c r="AY15" s="622"/>
      <c r="AZ15" s="622"/>
      <c r="BA15" s="622"/>
      <c r="BB15" s="622"/>
      <c r="BC15" s="622"/>
      <c r="BD15" s="622"/>
      <c r="BE15" s="622"/>
      <c r="BF15" s="622"/>
      <c r="BG15" s="622"/>
      <c r="BH15" s="622"/>
      <c r="BI15" s="622"/>
      <c r="BJ15" s="622"/>
      <c r="BK15" s="622"/>
      <c r="BL15" s="622"/>
      <c r="BM15" s="622"/>
      <c r="BN15" s="622"/>
      <c r="BO15" s="622"/>
      <c r="BP15" s="622"/>
      <c r="BQ15" s="622"/>
      <c r="BR15" s="622"/>
      <c r="BS15" s="622"/>
      <c r="BT15" s="622"/>
      <c r="BU15" s="622"/>
      <c r="BV15" s="622"/>
      <c r="BW15" s="622"/>
      <c r="BX15" s="622"/>
      <c r="BY15" s="622"/>
      <c r="BZ15" s="622"/>
      <c r="CA15" s="622"/>
      <c r="CB15" s="622"/>
      <c r="CC15" s="622"/>
      <c r="CD15" s="622"/>
      <c r="CE15" s="622"/>
      <c r="CF15" s="622"/>
      <c r="CG15" s="622"/>
      <c r="CH15" s="622"/>
      <c r="CI15" s="622"/>
      <c r="CJ15" s="622"/>
      <c r="CK15" s="622"/>
      <c r="CL15" s="622"/>
      <c r="CM15" s="622"/>
      <c r="CN15" s="622"/>
      <c r="CO15" s="622"/>
      <c r="CP15" s="622"/>
      <c r="CQ15" s="622"/>
      <c r="CR15" s="622"/>
      <c r="CS15" s="622"/>
      <c r="CT15" s="622"/>
      <c r="CU15" s="622"/>
      <c r="CV15" s="622"/>
      <c r="CW15" s="622"/>
      <c r="CX15" s="622"/>
      <c r="CY15" s="622"/>
      <c r="CZ15" s="622"/>
      <c r="DA15" s="622"/>
      <c r="DB15" s="622"/>
      <c r="DC15" s="622"/>
      <c r="DD15" s="622"/>
      <c r="DE15" s="622"/>
      <c r="DF15" s="622"/>
      <c r="DG15" s="622"/>
      <c r="DH15" s="622"/>
      <c r="DI15" s="622"/>
      <c r="DJ15" s="622"/>
      <c r="DK15" s="622"/>
      <c r="DL15" s="622"/>
      <c r="DM15" s="622"/>
      <c r="DN15" s="622"/>
      <c r="DO15" s="622"/>
      <c r="DP15" s="622"/>
      <c r="DQ15" s="622"/>
      <c r="DR15" s="622"/>
      <c r="DS15" s="622"/>
      <c r="DT15" s="622"/>
      <c r="DU15" s="622"/>
      <c r="DV15" s="622"/>
      <c r="DW15" s="622"/>
      <c r="DX15" s="622"/>
      <c r="DY15" s="622"/>
      <c r="DZ15" s="622"/>
      <c r="EA15" s="622"/>
      <c r="EB15" s="622"/>
      <c r="EC15" s="622"/>
      <c r="ED15" s="622"/>
      <c r="EE15" s="622"/>
      <c r="EF15" s="622"/>
      <c r="EG15" s="622"/>
      <c r="EH15" s="622"/>
      <c r="EI15" s="622"/>
      <c r="EJ15" s="622"/>
      <c r="EK15" s="622"/>
      <c r="EL15" s="622"/>
      <c r="EM15" s="622"/>
      <c r="EN15" s="622"/>
      <c r="EO15" s="622"/>
      <c r="EP15" s="622"/>
      <c r="EQ15" s="622"/>
      <c r="ER15" s="622"/>
      <c r="ES15" s="622"/>
      <c r="ET15" s="622"/>
      <c r="EU15" s="622"/>
      <c r="EV15" s="622"/>
      <c r="EW15" s="622"/>
      <c r="EX15" s="622"/>
      <c r="EY15" s="622"/>
      <c r="EZ15" s="622"/>
      <c r="FA15" s="622"/>
      <c r="FB15" s="622"/>
      <c r="FC15" s="622"/>
      <c r="FD15" s="622"/>
      <c r="FE15" s="622"/>
      <c r="FF15" s="622"/>
      <c r="FG15" s="622"/>
      <c r="FH15" s="622"/>
      <c r="FI15" s="622"/>
      <c r="FJ15" s="622"/>
      <c r="FK15" s="622"/>
      <c r="FL15" s="622"/>
      <c r="FM15" s="622"/>
      <c r="FN15" s="622"/>
      <c r="FO15" s="622"/>
      <c r="FP15" s="622"/>
      <c r="FQ15" s="622"/>
      <c r="FR15" s="622"/>
      <c r="FS15" s="622"/>
      <c r="FT15" s="622"/>
      <c r="FU15" s="622"/>
      <c r="FV15" s="622"/>
      <c r="FW15" s="622"/>
      <c r="FX15" s="622"/>
      <c r="FY15" s="622"/>
      <c r="FZ15" s="622"/>
      <c r="GA15" s="622"/>
      <c r="GB15" s="622"/>
      <c r="GC15" s="622"/>
      <c r="GD15" s="622"/>
      <c r="GE15" s="622"/>
      <c r="GF15" s="622"/>
      <c r="GG15" s="622"/>
      <c r="GH15" s="622"/>
      <c r="GI15" s="622"/>
      <c r="GJ15" s="622"/>
      <c r="GK15" s="622"/>
      <c r="GL15" s="622"/>
      <c r="GM15" s="622"/>
      <c r="GN15" s="622"/>
      <c r="GO15" s="622"/>
      <c r="GP15" s="622"/>
      <c r="GQ15" s="622"/>
      <c r="GR15" s="622"/>
      <c r="GS15" s="622"/>
    </row>
    <row r="16" spans="1:201" s="418" customFormat="1" ht="21.75" customHeight="1">
      <c r="A16" s="942" t="s">
        <v>483</v>
      </c>
      <c r="B16" s="630" t="s">
        <v>484</v>
      </c>
      <c r="C16" s="630" t="s">
        <v>150</v>
      </c>
      <c r="D16" s="630"/>
      <c r="E16" s="630"/>
      <c r="F16" s="630">
        <v>6.52</v>
      </c>
      <c r="G16" s="630"/>
      <c r="H16" s="630">
        <f t="shared" si="0"/>
        <v>6.52</v>
      </c>
      <c r="I16" s="642"/>
      <c r="J16" s="640"/>
      <c r="K16" s="640"/>
      <c r="L16" s="640"/>
      <c r="M16" s="640">
        <f t="shared" si="1"/>
        <v>0</v>
      </c>
      <c r="N16" s="640">
        <f t="shared" si="1"/>
        <v>0</v>
      </c>
      <c r="O16" s="640">
        <f t="shared" si="2"/>
        <v>0</v>
      </c>
      <c r="P16" s="640">
        <f t="shared" si="3"/>
        <v>0</v>
      </c>
      <c r="Q16" s="647"/>
      <c r="R16" s="642">
        <v>1</v>
      </c>
      <c r="S16" s="642"/>
      <c r="T16" s="642">
        <f t="shared" si="4"/>
        <v>1</v>
      </c>
      <c r="U16" s="642"/>
      <c r="V16" s="642"/>
      <c r="W16" s="642"/>
      <c r="X16" s="642">
        <f t="shared" si="5"/>
        <v>0</v>
      </c>
      <c r="Y16" s="642"/>
      <c r="Z16" s="642">
        <v>3</v>
      </c>
      <c r="AA16" s="642"/>
      <c r="AB16" s="642"/>
      <c r="AC16" s="647">
        <v>0</v>
      </c>
      <c r="AD16" s="651">
        <v>0</v>
      </c>
      <c r="AE16" s="65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2"/>
      <c r="AW16" s="622"/>
      <c r="AX16" s="622"/>
      <c r="AY16" s="622"/>
      <c r="AZ16" s="622"/>
      <c r="BA16" s="622"/>
      <c r="BB16" s="622"/>
      <c r="BC16" s="622"/>
      <c r="BD16" s="622"/>
      <c r="BE16" s="622"/>
      <c r="BF16" s="622"/>
      <c r="BG16" s="622"/>
      <c r="BH16" s="622"/>
      <c r="BI16" s="622"/>
      <c r="BJ16" s="622"/>
      <c r="BK16" s="622"/>
      <c r="BL16" s="622"/>
      <c r="BM16" s="622"/>
      <c r="BN16" s="622"/>
      <c r="BO16" s="622"/>
      <c r="BP16" s="622"/>
      <c r="BQ16" s="622"/>
      <c r="BR16" s="622"/>
      <c r="BS16" s="622"/>
      <c r="BT16" s="622"/>
      <c r="BU16" s="622"/>
      <c r="BV16" s="622"/>
      <c r="BW16" s="622"/>
      <c r="BX16" s="622"/>
      <c r="BY16" s="622"/>
      <c r="BZ16" s="622"/>
      <c r="CA16" s="622"/>
      <c r="CB16" s="622"/>
      <c r="CC16" s="622"/>
      <c r="CD16" s="622"/>
      <c r="CE16" s="622"/>
      <c r="CF16" s="622"/>
      <c r="CG16" s="622"/>
      <c r="CH16" s="622"/>
      <c r="CI16" s="622"/>
      <c r="CJ16" s="622"/>
      <c r="CK16" s="622"/>
      <c r="CL16" s="622"/>
      <c r="CM16" s="622"/>
      <c r="CN16" s="622"/>
      <c r="CO16" s="622"/>
      <c r="CP16" s="622"/>
      <c r="CQ16" s="622"/>
      <c r="CR16" s="622"/>
      <c r="CS16" s="622"/>
      <c r="CT16" s="622"/>
      <c r="CU16" s="622"/>
      <c r="CV16" s="622"/>
      <c r="CW16" s="622"/>
      <c r="CX16" s="622"/>
      <c r="CY16" s="622"/>
      <c r="CZ16" s="622"/>
      <c r="DA16" s="622"/>
      <c r="DB16" s="622"/>
      <c r="DC16" s="622"/>
      <c r="DD16" s="622"/>
      <c r="DE16" s="622"/>
      <c r="DF16" s="622"/>
      <c r="DG16" s="622"/>
      <c r="DH16" s="622"/>
      <c r="DI16" s="622"/>
      <c r="DJ16" s="622"/>
      <c r="DK16" s="622"/>
      <c r="DL16" s="622"/>
      <c r="DM16" s="622"/>
      <c r="DN16" s="622"/>
      <c r="DO16" s="622"/>
      <c r="DP16" s="622"/>
      <c r="DQ16" s="622"/>
      <c r="DR16" s="622"/>
      <c r="DS16" s="622"/>
      <c r="DT16" s="622"/>
      <c r="DU16" s="622"/>
      <c r="DV16" s="622"/>
      <c r="DW16" s="622"/>
      <c r="DX16" s="622"/>
      <c r="DY16" s="622"/>
      <c r="DZ16" s="622"/>
      <c r="EA16" s="622"/>
      <c r="EB16" s="622"/>
      <c r="EC16" s="622"/>
      <c r="ED16" s="622"/>
      <c r="EE16" s="622"/>
      <c r="EF16" s="622"/>
      <c r="EG16" s="622"/>
      <c r="EH16" s="622"/>
      <c r="EI16" s="622"/>
      <c r="EJ16" s="622"/>
      <c r="EK16" s="622"/>
      <c r="EL16" s="622"/>
      <c r="EM16" s="622"/>
      <c r="EN16" s="622"/>
      <c r="EO16" s="622"/>
      <c r="EP16" s="622"/>
      <c r="EQ16" s="622"/>
      <c r="ER16" s="622"/>
      <c r="ES16" s="622"/>
      <c r="ET16" s="622"/>
      <c r="EU16" s="622"/>
      <c r="EV16" s="622"/>
      <c r="EW16" s="622"/>
      <c r="EX16" s="622"/>
      <c r="EY16" s="622"/>
      <c r="EZ16" s="622"/>
      <c r="FA16" s="622"/>
      <c r="FB16" s="622"/>
      <c r="FC16" s="622"/>
      <c r="FD16" s="622"/>
      <c r="FE16" s="622"/>
      <c r="FF16" s="622"/>
      <c r="FG16" s="622"/>
      <c r="FH16" s="622"/>
      <c r="FI16" s="622"/>
      <c r="FJ16" s="622"/>
      <c r="FK16" s="622"/>
      <c r="FL16" s="622"/>
      <c r="FM16" s="622"/>
      <c r="FN16" s="622"/>
      <c r="FO16" s="622"/>
      <c r="FP16" s="622"/>
      <c r="FQ16" s="622"/>
      <c r="FR16" s="622"/>
      <c r="FS16" s="622"/>
      <c r="FT16" s="622"/>
      <c r="FU16" s="622"/>
      <c r="FV16" s="622"/>
      <c r="FW16" s="622"/>
      <c r="FX16" s="622"/>
      <c r="FY16" s="622"/>
      <c r="FZ16" s="622"/>
      <c r="GA16" s="622"/>
      <c r="GB16" s="622"/>
      <c r="GC16" s="622"/>
      <c r="GD16" s="622"/>
      <c r="GE16" s="622"/>
      <c r="GF16" s="622"/>
      <c r="GG16" s="622"/>
      <c r="GH16" s="622"/>
      <c r="GI16" s="622"/>
      <c r="GJ16" s="622"/>
      <c r="GK16" s="622"/>
      <c r="GL16" s="622"/>
      <c r="GM16" s="622"/>
      <c r="GN16" s="622"/>
      <c r="GO16" s="622"/>
      <c r="GP16" s="622"/>
      <c r="GQ16" s="622"/>
      <c r="GR16" s="622"/>
      <c r="GS16" s="622"/>
    </row>
    <row r="17" spans="1:201" s="418" customFormat="1" ht="21.75" customHeight="1">
      <c r="A17" s="942" t="s">
        <v>485</v>
      </c>
      <c r="B17" s="630" t="s">
        <v>486</v>
      </c>
      <c r="C17" s="630" t="s">
        <v>150</v>
      </c>
      <c r="D17" s="630"/>
      <c r="E17" s="630"/>
      <c r="F17" s="630">
        <v>10.15</v>
      </c>
      <c r="G17" s="630"/>
      <c r="H17" s="630">
        <f t="shared" si="0"/>
        <v>10.15</v>
      </c>
      <c r="I17" s="640">
        <v>3885</v>
      </c>
      <c r="J17" s="640">
        <v>21</v>
      </c>
      <c r="K17" s="640">
        <v>3590</v>
      </c>
      <c r="L17" s="640">
        <v>17</v>
      </c>
      <c r="M17" s="640">
        <f t="shared" si="1"/>
        <v>7475</v>
      </c>
      <c r="N17" s="640">
        <f t="shared" si="1"/>
        <v>38</v>
      </c>
      <c r="O17" s="640">
        <f t="shared" si="2"/>
        <v>114</v>
      </c>
      <c r="P17" s="640">
        <f t="shared" si="3"/>
        <v>114</v>
      </c>
      <c r="Q17" s="647"/>
      <c r="R17" s="642">
        <v>2</v>
      </c>
      <c r="S17" s="642"/>
      <c r="T17" s="642">
        <f t="shared" si="4"/>
        <v>2</v>
      </c>
      <c r="U17" s="642"/>
      <c r="V17" s="642"/>
      <c r="W17" s="642"/>
      <c r="X17" s="642">
        <f t="shared" si="5"/>
        <v>21</v>
      </c>
      <c r="Y17" s="642"/>
      <c r="Z17" s="642">
        <v>4</v>
      </c>
      <c r="AA17" s="642"/>
      <c r="AB17" s="642"/>
      <c r="AC17" s="647">
        <v>1539.8719</v>
      </c>
      <c r="AD17" s="651">
        <v>5.73</v>
      </c>
      <c r="AE17" s="652"/>
      <c r="AF17" s="622"/>
      <c r="AG17" s="622"/>
      <c r="AH17" s="622"/>
      <c r="AI17" s="622"/>
      <c r="AJ17" s="622"/>
      <c r="AK17" s="622"/>
      <c r="AL17" s="622"/>
      <c r="AM17" s="622"/>
      <c r="AN17" s="622"/>
      <c r="AO17" s="622"/>
      <c r="AP17" s="622"/>
      <c r="AQ17" s="622"/>
      <c r="AR17" s="622"/>
      <c r="AS17" s="622"/>
      <c r="AT17" s="622"/>
      <c r="AU17" s="622"/>
      <c r="AV17" s="622"/>
      <c r="AW17" s="622"/>
      <c r="AX17" s="622"/>
      <c r="AY17" s="622"/>
      <c r="AZ17" s="622"/>
      <c r="BA17" s="622"/>
      <c r="BB17" s="622"/>
      <c r="BC17" s="622"/>
      <c r="BD17" s="622"/>
      <c r="BE17" s="622"/>
      <c r="BF17" s="622"/>
      <c r="BG17" s="622"/>
      <c r="BH17" s="622"/>
      <c r="BI17" s="622"/>
      <c r="BJ17" s="622"/>
      <c r="BK17" s="622"/>
      <c r="BL17" s="622"/>
      <c r="BM17" s="622"/>
      <c r="BN17" s="622"/>
      <c r="BO17" s="622"/>
      <c r="BP17" s="622"/>
      <c r="BQ17" s="622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622"/>
      <c r="CC17" s="622"/>
      <c r="CD17" s="622"/>
      <c r="CE17" s="622"/>
      <c r="CF17" s="622"/>
      <c r="CG17" s="622"/>
      <c r="CH17" s="622"/>
      <c r="CI17" s="622"/>
      <c r="CJ17" s="622"/>
      <c r="CK17" s="622"/>
      <c r="CL17" s="622"/>
      <c r="CM17" s="622"/>
      <c r="CN17" s="622"/>
      <c r="CO17" s="622"/>
      <c r="CP17" s="622"/>
      <c r="CQ17" s="622"/>
      <c r="CR17" s="622"/>
      <c r="CS17" s="622"/>
      <c r="CT17" s="622"/>
      <c r="CU17" s="622"/>
      <c r="CV17" s="622"/>
      <c r="CW17" s="622"/>
      <c r="CX17" s="622"/>
      <c r="CY17" s="622"/>
      <c r="CZ17" s="622"/>
      <c r="DA17" s="622"/>
      <c r="DB17" s="622"/>
      <c r="DC17" s="622"/>
      <c r="DD17" s="622"/>
      <c r="DE17" s="622"/>
      <c r="DF17" s="622"/>
      <c r="DG17" s="622"/>
      <c r="DH17" s="622"/>
      <c r="DI17" s="622"/>
      <c r="DJ17" s="622"/>
      <c r="DK17" s="622"/>
      <c r="DL17" s="622"/>
      <c r="DM17" s="622"/>
      <c r="DN17" s="622"/>
      <c r="DO17" s="622"/>
      <c r="DP17" s="622"/>
      <c r="DQ17" s="622"/>
      <c r="DR17" s="622"/>
      <c r="DS17" s="622"/>
      <c r="DT17" s="622"/>
      <c r="DU17" s="622"/>
      <c r="DV17" s="622"/>
      <c r="DW17" s="622"/>
      <c r="DX17" s="622"/>
      <c r="DY17" s="622"/>
      <c r="DZ17" s="622"/>
      <c r="EA17" s="622"/>
      <c r="EB17" s="622"/>
      <c r="EC17" s="622"/>
      <c r="ED17" s="622"/>
      <c r="EE17" s="622"/>
      <c r="EF17" s="622"/>
      <c r="EG17" s="622"/>
      <c r="EH17" s="622"/>
      <c r="EI17" s="622"/>
      <c r="EJ17" s="622"/>
      <c r="EK17" s="622"/>
      <c r="EL17" s="622"/>
      <c r="EM17" s="622"/>
      <c r="EN17" s="622"/>
      <c r="EO17" s="622"/>
      <c r="EP17" s="622"/>
      <c r="EQ17" s="622"/>
      <c r="ER17" s="622"/>
      <c r="ES17" s="622"/>
      <c r="ET17" s="622"/>
      <c r="EU17" s="622"/>
      <c r="EV17" s="622"/>
      <c r="EW17" s="622"/>
      <c r="EX17" s="622"/>
      <c r="EY17" s="622"/>
      <c r="EZ17" s="622"/>
      <c r="FA17" s="622"/>
      <c r="FB17" s="622"/>
      <c r="FC17" s="622"/>
      <c r="FD17" s="622"/>
      <c r="FE17" s="622"/>
      <c r="FF17" s="622"/>
      <c r="FG17" s="622"/>
      <c r="FH17" s="622"/>
      <c r="FI17" s="622"/>
      <c r="FJ17" s="622"/>
      <c r="FK17" s="622"/>
      <c r="FL17" s="622"/>
      <c r="FM17" s="622"/>
      <c r="FN17" s="622"/>
      <c r="FO17" s="622"/>
      <c r="FP17" s="622"/>
      <c r="FQ17" s="622"/>
      <c r="FR17" s="622"/>
      <c r="FS17" s="622"/>
      <c r="FT17" s="622"/>
      <c r="FU17" s="622"/>
      <c r="FV17" s="622"/>
      <c r="FW17" s="622"/>
      <c r="FX17" s="622"/>
      <c r="FY17" s="622"/>
      <c r="FZ17" s="622"/>
      <c r="GA17" s="622"/>
      <c r="GB17" s="622"/>
      <c r="GC17" s="622"/>
      <c r="GD17" s="622"/>
      <c r="GE17" s="622"/>
      <c r="GF17" s="622"/>
      <c r="GG17" s="622"/>
      <c r="GH17" s="622"/>
      <c r="GI17" s="622"/>
      <c r="GJ17" s="622"/>
      <c r="GK17" s="622"/>
      <c r="GL17" s="622"/>
      <c r="GM17" s="622"/>
      <c r="GN17" s="622"/>
      <c r="GO17" s="622"/>
      <c r="GP17" s="622"/>
      <c r="GQ17" s="622"/>
      <c r="GR17" s="622"/>
      <c r="GS17" s="622"/>
    </row>
    <row r="18" spans="1:201" s="418" customFormat="1" ht="21.75" customHeight="1">
      <c r="A18" s="942" t="s">
        <v>487</v>
      </c>
      <c r="B18" s="630" t="s">
        <v>488</v>
      </c>
      <c r="C18" s="630" t="s">
        <v>150</v>
      </c>
      <c r="D18" s="630"/>
      <c r="E18" s="630"/>
      <c r="F18" s="630">
        <v>6.05</v>
      </c>
      <c r="G18" s="630"/>
      <c r="H18" s="630">
        <f t="shared" si="0"/>
        <v>6.05</v>
      </c>
      <c r="I18" s="640">
        <v>555</v>
      </c>
      <c r="J18" s="640">
        <v>6</v>
      </c>
      <c r="K18" s="640">
        <v>50</v>
      </c>
      <c r="L18" s="640">
        <v>1</v>
      </c>
      <c r="M18" s="640">
        <f t="shared" si="1"/>
        <v>605</v>
      </c>
      <c r="N18" s="640">
        <f t="shared" si="1"/>
        <v>7</v>
      </c>
      <c r="O18" s="640">
        <f t="shared" si="2"/>
        <v>21</v>
      </c>
      <c r="P18" s="640">
        <f t="shared" si="3"/>
        <v>21</v>
      </c>
      <c r="Q18" s="647"/>
      <c r="R18" s="642">
        <v>2</v>
      </c>
      <c r="S18" s="642"/>
      <c r="T18" s="642">
        <f t="shared" si="4"/>
        <v>2</v>
      </c>
      <c r="U18" s="642"/>
      <c r="V18" s="642"/>
      <c r="W18" s="642"/>
      <c r="X18" s="642">
        <f t="shared" si="5"/>
        <v>6</v>
      </c>
      <c r="Y18" s="642"/>
      <c r="Z18" s="642">
        <v>2</v>
      </c>
      <c r="AA18" s="642"/>
      <c r="AB18" s="642"/>
      <c r="AC18" s="647">
        <v>991.9621</v>
      </c>
      <c r="AD18" s="651">
        <v>5.67</v>
      </c>
      <c r="AE18" s="65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2"/>
      <c r="CC18" s="622"/>
      <c r="CD18" s="622"/>
      <c r="CE18" s="622"/>
      <c r="CF18" s="622"/>
      <c r="CG18" s="622"/>
      <c r="CH18" s="622"/>
      <c r="CI18" s="622"/>
      <c r="CJ18" s="622"/>
      <c r="CK18" s="622"/>
      <c r="CL18" s="622"/>
      <c r="CM18" s="622"/>
      <c r="CN18" s="622"/>
      <c r="CO18" s="622"/>
      <c r="CP18" s="622"/>
      <c r="CQ18" s="622"/>
      <c r="CR18" s="622"/>
      <c r="CS18" s="622"/>
      <c r="CT18" s="622"/>
      <c r="CU18" s="622"/>
      <c r="CV18" s="622"/>
      <c r="CW18" s="622"/>
      <c r="CX18" s="622"/>
      <c r="CY18" s="622"/>
      <c r="CZ18" s="622"/>
      <c r="DA18" s="622"/>
      <c r="DB18" s="622"/>
      <c r="DC18" s="622"/>
      <c r="DD18" s="622"/>
      <c r="DE18" s="622"/>
      <c r="DF18" s="622"/>
      <c r="DG18" s="622"/>
      <c r="DH18" s="622"/>
      <c r="DI18" s="622"/>
      <c r="DJ18" s="622"/>
      <c r="DK18" s="622"/>
      <c r="DL18" s="622"/>
      <c r="DM18" s="622"/>
      <c r="DN18" s="622"/>
      <c r="DO18" s="622"/>
      <c r="DP18" s="622"/>
      <c r="DQ18" s="622"/>
      <c r="DR18" s="622"/>
      <c r="DS18" s="622"/>
      <c r="DT18" s="622"/>
      <c r="DU18" s="622"/>
      <c r="DV18" s="622"/>
      <c r="DW18" s="622"/>
      <c r="DX18" s="622"/>
      <c r="DY18" s="622"/>
      <c r="DZ18" s="622"/>
      <c r="EA18" s="622"/>
      <c r="EB18" s="622"/>
      <c r="EC18" s="622"/>
      <c r="ED18" s="622"/>
      <c r="EE18" s="622"/>
      <c r="EF18" s="622"/>
      <c r="EG18" s="622"/>
      <c r="EH18" s="622"/>
      <c r="EI18" s="622"/>
      <c r="EJ18" s="622"/>
      <c r="EK18" s="622"/>
      <c r="EL18" s="622"/>
      <c r="EM18" s="622"/>
      <c r="EN18" s="622"/>
      <c r="EO18" s="622"/>
      <c r="EP18" s="622"/>
      <c r="EQ18" s="622"/>
      <c r="ER18" s="622"/>
      <c r="ES18" s="622"/>
      <c r="ET18" s="622"/>
      <c r="EU18" s="622"/>
      <c r="EV18" s="622"/>
      <c r="EW18" s="622"/>
      <c r="EX18" s="622"/>
      <c r="EY18" s="622"/>
      <c r="EZ18" s="622"/>
      <c r="FA18" s="622"/>
      <c r="FB18" s="622"/>
      <c r="FC18" s="622"/>
      <c r="FD18" s="622"/>
      <c r="FE18" s="622"/>
      <c r="FF18" s="622"/>
      <c r="FG18" s="622"/>
      <c r="FH18" s="622"/>
      <c r="FI18" s="622"/>
      <c r="FJ18" s="622"/>
      <c r="FK18" s="622"/>
      <c r="FL18" s="622"/>
      <c r="FM18" s="622"/>
      <c r="FN18" s="622"/>
      <c r="FO18" s="622"/>
      <c r="FP18" s="622"/>
      <c r="FQ18" s="622"/>
      <c r="FR18" s="622"/>
      <c r="FS18" s="622"/>
      <c r="FT18" s="622"/>
      <c r="FU18" s="622"/>
      <c r="FV18" s="622"/>
      <c r="FW18" s="622"/>
      <c r="FX18" s="622"/>
      <c r="FY18" s="622"/>
      <c r="FZ18" s="622"/>
      <c r="GA18" s="622"/>
      <c r="GB18" s="622"/>
      <c r="GC18" s="622"/>
      <c r="GD18" s="622"/>
      <c r="GE18" s="622"/>
      <c r="GF18" s="622"/>
      <c r="GG18" s="622"/>
      <c r="GH18" s="622"/>
      <c r="GI18" s="622"/>
      <c r="GJ18" s="622"/>
      <c r="GK18" s="622"/>
      <c r="GL18" s="622"/>
      <c r="GM18" s="622"/>
      <c r="GN18" s="622"/>
      <c r="GO18" s="622"/>
      <c r="GP18" s="622"/>
      <c r="GQ18" s="622"/>
      <c r="GR18" s="622"/>
      <c r="GS18" s="622"/>
    </row>
    <row r="19" spans="1:201" s="418" customFormat="1" ht="21.75" customHeight="1">
      <c r="A19" s="942" t="s">
        <v>489</v>
      </c>
      <c r="B19" s="630" t="s">
        <v>490</v>
      </c>
      <c r="C19" s="630"/>
      <c r="D19" s="630" t="s">
        <v>150</v>
      </c>
      <c r="E19" s="630"/>
      <c r="F19" s="630">
        <v>49.38</v>
      </c>
      <c r="G19" s="630"/>
      <c r="H19" s="630">
        <f t="shared" si="0"/>
        <v>49.38</v>
      </c>
      <c r="I19" s="640">
        <v>1040</v>
      </c>
      <c r="J19" s="640">
        <v>30</v>
      </c>
      <c r="K19" s="640">
        <v>2920</v>
      </c>
      <c r="L19" s="640">
        <v>9</v>
      </c>
      <c r="M19" s="640">
        <f t="shared" si="1"/>
        <v>3960</v>
      </c>
      <c r="N19" s="640">
        <f t="shared" si="1"/>
        <v>39</v>
      </c>
      <c r="O19" s="640">
        <f t="shared" si="2"/>
        <v>117</v>
      </c>
      <c r="P19" s="640">
        <f t="shared" si="3"/>
        <v>117</v>
      </c>
      <c r="Q19" s="647"/>
      <c r="R19" s="642">
        <v>2</v>
      </c>
      <c r="S19" s="642"/>
      <c r="T19" s="642">
        <f t="shared" si="4"/>
        <v>2</v>
      </c>
      <c r="U19" s="642"/>
      <c r="V19" s="642"/>
      <c r="W19" s="642"/>
      <c r="X19" s="642">
        <f t="shared" si="5"/>
        <v>30</v>
      </c>
      <c r="Y19" s="642"/>
      <c r="Z19" s="642">
        <v>3</v>
      </c>
      <c r="AA19" s="642"/>
      <c r="AB19" s="642"/>
      <c r="AC19" s="647">
        <v>1131.8841</v>
      </c>
      <c r="AD19" s="651">
        <v>7.02</v>
      </c>
      <c r="AE19" s="65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2"/>
      <c r="BD19" s="622"/>
      <c r="BE19" s="622"/>
      <c r="BF19" s="622"/>
      <c r="BG19" s="622"/>
      <c r="BH19" s="622"/>
      <c r="BI19" s="622"/>
      <c r="BJ19" s="622"/>
      <c r="BK19" s="622"/>
      <c r="BL19" s="622"/>
      <c r="BM19" s="622"/>
      <c r="BN19" s="622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622"/>
      <c r="CB19" s="622"/>
      <c r="CC19" s="622"/>
      <c r="CD19" s="622"/>
      <c r="CE19" s="622"/>
      <c r="CF19" s="622"/>
      <c r="CG19" s="622"/>
      <c r="CH19" s="622"/>
      <c r="CI19" s="622"/>
      <c r="CJ19" s="622"/>
      <c r="CK19" s="622"/>
      <c r="CL19" s="622"/>
      <c r="CM19" s="622"/>
      <c r="CN19" s="622"/>
      <c r="CO19" s="622"/>
      <c r="CP19" s="622"/>
      <c r="CQ19" s="622"/>
      <c r="CR19" s="622"/>
      <c r="CS19" s="622"/>
      <c r="CT19" s="622"/>
      <c r="CU19" s="622"/>
      <c r="CV19" s="622"/>
      <c r="CW19" s="622"/>
      <c r="CX19" s="622"/>
      <c r="CY19" s="622"/>
      <c r="CZ19" s="622"/>
      <c r="DA19" s="622"/>
      <c r="DB19" s="622"/>
      <c r="DC19" s="622"/>
      <c r="DD19" s="622"/>
      <c r="DE19" s="622"/>
      <c r="DF19" s="622"/>
      <c r="DG19" s="622"/>
      <c r="DH19" s="622"/>
      <c r="DI19" s="622"/>
      <c r="DJ19" s="622"/>
      <c r="DK19" s="622"/>
      <c r="DL19" s="622"/>
      <c r="DM19" s="622"/>
      <c r="DN19" s="622"/>
      <c r="DO19" s="622"/>
      <c r="DP19" s="622"/>
      <c r="DQ19" s="622"/>
      <c r="DR19" s="622"/>
      <c r="DS19" s="622"/>
      <c r="DT19" s="622"/>
      <c r="DU19" s="622"/>
      <c r="DV19" s="622"/>
      <c r="DW19" s="622"/>
      <c r="DX19" s="622"/>
      <c r="DY19" s="622"/>
      <c r="DZ19" s="622"/>
      <c r="EA19" s="622"/>
      <c r="EB19" s="622"/>
      <c r="EC19" s="622"/>
      <c r="ED19" s="622"/>
      <c r="EE19" s="622"/>
      <c r="EF19" s="622"/>
      <c r="EG19" s="622"/>
      <c r="EH19" s="622"/>
      <c r="EI19" s="622"/>
      <c r="EJ19" s="622"/>
      <c r="EK19" s="622"/>
      <c r="EL19" s="622"/>
      <c r="EM19" s="622"/>
      <c r="EN19" s="622"/>
      <c r="EO19" s="622"/>
      <c r="EP19" s="622"/>
      <c r="EQ19" s="622"/>
      <c r="ER19" s="622"/>
      <c r="ES19" s="622"/>
      <c r="ET19" s="622"/>
      <c r="EU19" s="622"/>
      <c r="EV19" s="622"/>
      <c r="EW19" s="622"/>
      <c r="EX19" s="622"/>
      <c r="EY19" s="622"/>
      <c r="EZ19" s="622"/>
      <c r="FA19" s="622"/>
      <c r="FB19" s="622"/>
      <c r="FC19" s="622"/>
      <c r="FD19" s="622"/>
      <c r="FE19" s="622"/>
      <c r="FF19" s="622"/>
      <c r="FG19" s="622"/>
      <c r="FH19" s="622"/>
      <c r="FI19" s="622"/>
      <c r="FJ19" s="622"/>
      <c r="FK19" s="622"/>
      <c r="FL19" s="622"/>
      <c r="FM19" s="622"/>
      <c r="FN19" s="622"/>
      <c r="FO19" s="622"/>
      <c r="FP19" s="622"/>
      <c r="FQ19" s="622"/>
      <c r="FR19" s="622"/>
      <c r="FS19" s="622"/>
      <c r="FT19" s="622"/>
      <c r="FU19" s="622"/>
      <c r="FV19" s="622"/>
      <c r="FW19" s="622"/>
      <c r="FX19" s="622"/>
      <c r="FY19" s="622"/>
      <c r="FZ19" s="622"/>
      <c r="GA19" s="622"/>
      <c r="GB19" s="622"/>
      <c r="GC19" s="622"/>
      <c r="GD19" s="622"/>
      <c r="GE19" s="622"/>
      <c r="GF19" s="622"/>
      <c r="GG19" s="622"/>
      <c r="GH19" s="622"/>
      <c r="GI19" s="622"/>
      <c r="GJ19" s="622"/>
      <c r="GK19" s="622"/>
      <c r="GL19" s="622"/>
      <c r="GM19" s="622"/>
      <c r="GN19" s="622"/>
      <c r="GO19" s="622"/>
      <c r="GP19" s="622"/>
      <c r="GQ19" s="622"/>
      <c r="GR19" s="622"/>
      <c r="GS19" s="622"/>
    </row>
    <row r="20" spans="1:30" s="621" customFormat="1" ht="21.75" customHeight="1">
      <c r="A20" s="942" t="s">
        <v>491</v>
      </c>
      <c r="B20" s="624" t="s">
        <v>492</v>
      </c>
      <c r="C20" s="630"/>
      <c r="D20" s="624"/>
      <c r="E20" s="624" t="s">
        <v>150</v>
      </c>
      <c r="F20" s="624"/>
      <c r="G20" s="624">
        <v>7.32</v>
      </c>
      <c r="H20" s="630">
        <f t="shared" si="0"/>
        <v>7.32</v>
      </c>
      <c r="I20" s="418"/>
      <c r="J20" s="418"/>
      <c r="K20" s="418"/>
      <c r="L20" s="418"/>
      <c r="M20" s="640">
        <f t="shared" si="1"/>
        <v>0</v>
      </c>
      <c r="N20" s="640">
        <f t="shared" si="1"/>
        <v>0</v>
      </c>
      <c r="O20" s="640">
        <f t="shared" si="2"/>
        <v>0</v>
      </c>
      <c r="P20" s="640">
        <f t="shared" si="3"/>
        <v>0</v>
      </c>
      <c r="Q20" s="418"/>
      <c r="R20" s="418"/>
      <c r="S20" s="418"/>
      <c r="T20" s="642">
        <f t="shared" si="4"/>
        <v>0</v>
      </c>
      <c r="U20" s="418"/>
      <c r="V20" s="418"/>
      <c r="W20" s="418"/>
      <c r="X20" s="642">
        <f t="shared" si="5"/>
        <v>0</v>
      </c>
      <c r="Y20" s="418"/>
      <c r="Z20" s="418"/>
      <c r="AA20" s="418"/>
      <c r="AB20" s="418"/>
      <c r="AC20" s="429">
        <v>0</v>
      </c>
      <c r="AD20" s="651">
        <v>0</v>
      </c>
    </row>
    <row r="21" spans="1:201" s="418" customFormat="1" ht="21.75" customHeight="1">
      <c r="A21" s="942" t="s">
        <v>493</v>
      </c>
      <c r="B21" s="630" t="s">
        <v>494</v>
      </c>
      <c r="C21" s="630"/>
      <c r="D21" s="630"/>
      <c r="E21" s="630" t="s">
        <v>150</v>
      </c>
      <c r="F21" s="630"/>
      <c r="G21" s="630">
        <v>1.3</v>
      </c>
      <c r="H21" s="630">
        <f t="shared" si="0"/>
        <v>1.3</v>
      </c>
      <c r="I21" s="642"/>
      <c r="J21" s="640"/>
      <c r="K21" s="640"/>
      <c r="L21" s="640"/>
      <c r="M21" s="640">
        <f t="shared" si="1"/>
        <v>0</v>
      </c>
      <c r="N21" s="640">
        <f t="shared" si="1"/>
        <v>0</v>
      </c>
      <c r="O21" s="640">
        <f t="shared" si="2"/>
        <v>0</v>
      </c>
      <c r="P21" s="640">
        <f t="shared" si="3"/>
        <v>0</v>
      </c>
      <c r="Q21" s="647"/>
      <c r="R21" s="642"/>
      <c r="S21" s="642"/>
      <c r="T21" s="642">
        <f t="shared" si="4"/>
        <v>0</v>
      </c>
      <c r="W21" s="642"/>
      <c r="X21" s="642">
        <f t="shared" si="5"/>
        <v>0</v>
      </c>
      <c r="Y21" s="642"/>
      <c r="Z21" s="642"/>
      <c r="AA21" s="642"/>
      <c r="AB21" s="642"/>
      <c r="AC21" s="647">
        <v>0</v>
      </c>
      <c r="AD21" s="651">
        <v>0</v>
      </c>
      <c r="AE21" s="652"/>
      <c r="AF21" s="622"/>
      <c r="AG21" s="622"/>
      <c r="AH21" s="622"/>
      <c r="AI21" s="622"/>
      <c r="AJ21" s="622"/>
      <c r="AK21" s="622"/>
      <c r="AL21" s="622"/>
      <c r="AM21" s="622"/>
      <c r="AN21" s="622"/>
      <c r="AO21" s="622"/>
      <c r="AP21" s="622"/>
      <c r="AQ21" s="622"/>
      <c r="AR21" s="622"/>
      <c r="AS21" s="622"/>
      <c r="AT21" s="622"/>
      <c r="AU21" s="622"/>
      <c r="AV21" s="622"/>
      <c r="AW21" s="622"/>
      <c r="AX21" s="622"/>
      <c r="AY21" s="622"/>
      <c r="AZ21" s="622"/>
      <c r="BA21" s="622"/>
      <c r="BB21" s="622"/>
      <c r="BC21" s="622"/>
      <c r="BD21" s="622"/>
      <c r="BE21" s="622"/>
      <c r="BF21" s="622"/>
      <c r="BG21" s="622"/>
      <c r="BH21" s="622"/>
      <c r="BI21" s="622"/>
      <c r="BJ21" s="622"/>
      <c r="BK21" s="622"/>
      <c r="BL21" s="622"/>
      <c r="BM21" s="622"/>
      <c r="BN21" s="622"/>
      <c r="BO21" s="622"/>
      <c r="BP21" s="622"/>
      <c r="BQ21" s="622"/>
      <c r="BR21" s="622"/>
      <c r="BS21" s="622"/>
      <c r="BT21" s="622"/>
      <c r="BU21" s="622"/>
      <c r="BV21" s="622"/>
      <c r="BW21" s="622"/>
      <c r="BX21" s="622"/>
      <c r="BY21" s="622"/>
      <c r="BZ21" s="622"/>
      <c r="CA21" s="622"/>
      <c r="CB21" s="622"/>
      <c r="CC21" s="622"/>
      <c r="CD21" s="622"/>
      <c r="CE21" s="622"/>
      <c r="CF21" s="622"/>
      <c r="CG21" s="622"/>
      <c r="CH21" s="622"/>
      <c r="CI21" s="622"/>
      <c r="CJ21" s="622"/>
      <c r="CK21" s="622"/>
      <c r="CL21" s="622"/>
      <c r="CM21" s="622"/>
      <c r="CN21" s="622"/>
      <c r="CO21" s="622"/>
      <c r="CP21" s="622"/>
      <c r="CQ21" s="622"/>
      <c r="CR21" s="622"/>
      <c r="CS21" s="622"/>
      <c r="CT21" s="622"/>
      <c r="CU21" s="622"/>
      <c r="CV21" s="622"/>
      <c r="CW21" s="622"/>
      <c r="CX21" s="622"/>
      <c r="CY21" s="622"/>
      <c r="CZ21" s="622"/>
      <c r="DA21" s="622"/>
      <c r="DB21" s="622"/>
      <c r="DC21" s="622"/>
      <c r="DD21" s="622"/>
      <c r="DE21" s="622"/>
      <c r="DF21" s="622"/>
      <c r="DG21" s="622"/>
      <c r="DH21" s="622"/>
      <c r="DI21" s="622"/>
      <c r="DJ21" s="622"/>
      <c r="DK21" s="622"/>
      <c r="DL21" s="622"/>
      <c r="DM21" s="622"/>
      <c r="DN21" s="622"/>
      <c r="DO21" s="622"/>
      <c r="DP21" s="622"/>
      <c r="DQ21" s="622"/>
      <c r="DR21" s="622"/>
      <c r="DS21" s="622"/>
      <c r="DT21" s="622"/>
      <c r="DU21" s="622"/>
      <c r="DV21" s="622"/>
      <c r="DW21" s="622"/>
      <c r="DX21" s="622"/>
      <c r="DY21" s="622"/>
      <c r="DZ21" s="622"/>
      <c r="EA21" s="622"/>
      <c r="EB21" s="622"/>
      <c r="EC21" s="622"/>
      <c r="ED21" s="622"/>
      <c r="EE21" s="622"/>
      <c r="EF21" s="622"/>
      <c r="EG21" s="622"/>
      <c r="EH21" s="622"/>
      <c r="EI21" s="622"/>
      <c r="EJ21" s="622"/>
      <c r="EK21" s="622"/>
      <c r="EL21" s="622"/>
      <c r="EM21" s="622"/>
      <c r="EN21" s="622"/>
      <c r="EO21" s="622"/>
      <c r="EP21" s="622"/>
      <c r="EQ21" s="622"/>
      <c r="ER21" s="622"/>
      <c r="ES21" s="622"/>
      <c r="ET21" s="622"/>
      <c r="EU21" s="622"/>
      <c r="EV21" s="622"/>
      <c r="EW21" s="622"/>
      <c r="EX21" s="622"/>
      <c r="EY21" s="622"/>
      <c r="EZ21" s="622"/>
      <c r="FA21" s="622"/>
      <c r="FB21" s="622"/>
      <c r="FC21" s="622"/>
      <c r="FD21" s="622"/>
      <c r="FE21" s="622"/>
      <c r="FF21" s="622"/>
      <c r="FG21" s="622"/>
      <c r="FH21" s="622"/>
      <c r="FI21" s="622"/>
      <c r="FJ21" s="622"/>
      <c r="FK21" s="622"/>
      <c r="FL21" s="622"/>
      <c r="FM21" s="622"/>
      <c r="FN21" s="622"/>
      <c r="FO21" s="622"/>
      <c r="FP21" s="622"/>
      <c r="FQ21" s="622"/>
      <c r="FR21" s="622"/>
      <c r="FS21" s="622"/>
      <c r="FT21" s="622"/>
      <c r="FU21" s="622"/>
      <c r="FV21" s="622"/>
      <c r="FW21" s="622"/>
      <c r="FX21" s="622"/>
      <c r="FY21" s="622"/>
      <c r="FZ21" s="622"/>
      <c r="GA21" s="622"/>
      <c r="GB21" s="622"/>
      <c r="GC21" s="622"/>
      <c r="GD21" s="622"/>
      <c r="GE21" s="622"/>
      <c r="GF21" s="622"/>
      <c r="GG21" s="622"/>
      <c r="GH21" s="622"/>
      <c r="GI21" s="622"/>
      <c r="GJ21" s="622"/>
      <c r="GK21" s="622"/>
      <c r="GL21" s="622"/>
      <c r="GM21" s="622"/>
      <c r="GN21" s="622"/>
      <c r="GO21" s="622"/>
      <c r="GP21" s="622"/>
      <c r="GQ21" s="622"/>
      <c r="GR21" s="622"/>
      <c r="GS21" s="622"/>
    </row>
    <row r="22" spans="1:201" s="418" customFormat="1" ht="21.75" customHeight="1">
      <c r="A22" s="942" t="s">
        <v>495</v>
      </c>
      <c r="B22" s="630" t="s">
        <v>496</v>
      </c>
      <c r="C22" s="630" t="s">
        <v>150</v>
      </c>
      <c r="D22" s="630"/>
      <c r="E22" s="630"/>
      <c r="F22" s="630">
        <v>15.33</v>
      </c>
      <c r="G22" s="630"/>
      <c r="H22" s="630">
        <f t="shared" si="0"/>
        <v>15.33</v>
      </c>
      <c r="I22" s="642">
        <v>2830</v>
      </c>
      <c r="J22" s="640">
        <v>19</v>
      </c>
      <c r="K22" s="640">
        <v>5320</v>
      </c>
      <c r="L22" s="640">
        <v>29</v>
      </c>
      <c r="M22" s="640">
        <f t="shared" si="1"/>
        <v>8150</v>
      </c>
      <c r="N22" s="640">
        <f t="shared" si="1"/>
        <v>48</v>
      </c>
      <c r="O22" s="640">
        <f t="shared" si="2"/>
        <v>144</v>
      </c>
      <c r="P22" s="640">
        <f t="shared" si="3"/>
        <v>144</v>
      </c>
      <c r="Q22" s="647"/>
      <c r="R22" s="642">
        <v>2</v>
      </c>
      <c r="S22" s="642"/>
      <c r="T22" s="642">
        <f t="shared" si="4"/>
        <v>2</v>
      </c>
      <c r="U22" s="642"/>
      <c r="V22" s="642"/>
      <c r="W22" s="642"/>
      <c r="X22" s="642">
        <f t="shared" si="5"/>
        <v>19</v>
      </c>
      <c r="Y22" s="642"/>
      <c r="Z22" s="642">
        <v>1</v>
      </c>
      <c r="AA22" s="642"/>
      <c r="AB22" s="642"/>
      <c r="AC22" s="647">
        <v>911.7117</v>
      </c>
      <c r="AD22" s="651">
        <v>7.22</v>
      </c>
      <c r="AE22" s="65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  <c r="BB22" s="622"/>
      <c r="BC22" s="622"/>
      <c r="BD22" s="622"/>
      <c r="BE22" s="622"/>
      <c r="BF22" s="622"/>
      <c r="BG22" s="622"/>
      <c r="BH22" s="622"/>
      <c r="BI22" s="622"/>
      <c r="BJ22" s="622"/>
      <c r="BK22" s="622"/>
      <c r="BL22" s="622"/>
      <c r="BM22" s="622"/>
      <c r="BN22" s="622"/>
      <c r="BO22" s="622"/>
      <c r="BP22" s="622"/>
      <c r="BQ22" s="622"/>
      <c r="BR22" s="622"/>
      <c r="BS22" s="622"/>
      <c r="BT22" s="622"/>
      <c r="BU22" s="622"/>
      <c r="BV22" s="622"/>
      <c r="BW22" s="622"/>
      <c r="BX22" s="622"/>
      <c r="BY22" s="622"/>
      <c r="BZ22" s="622"/>
      <c r="CA22" s="622"/>
      <c r="CB22" s="622"/>
      <c r="CC22" s="622"/>
      <c r="CD22" s="622"/>
      <c r="CE22" s="622"/>
      <c r="CF22" s="622"/>
      <c r="CG22" s="622"/>
      <c r="CH22" s="622"/>
      <c r="CI22" s="622"/>
      <c r="CJ22" s="622"/>
      <c r="CK22" s="622"/>
      <c r="CL22" s="622"/>
      <c r="CM22" s="622"/>
      <c r="CN22" s="622"/>
      <c r="CO22" s="622"/>
      <c r="CP22" s="622"/>
      <c r="CQ22" s="622"/>
      <c r="CR22" s="622"/>
      <c r="CS22" s="622"/>
      <c r="CT22" s="622"/>
      <c r="CU22" s="622"/>
      <c r="CV22" s="622"/>
      <c r="CW22" s="622"/>
      <c r="CX22" s="622"/>
      <c r="CY22" s="622"/>
      <c r="CZ22" s="622"/>
      <c r="DA22" s="622"/>
      <c r="DB22" s="622"/>
      <c r="DC22" s="622"/>
      <c r="DD22" s="622"/>
      <c r="DE22" s="622"/>
      <c r="DF22" s="622"/>
      <c r="DG22" s="622"/>
      <c r="DH22" s="622"/>
      <c r="DI22" s="622"/>
      <c r="DJ22" s="622"/>
      <c r="DK22" s="622"/>
      <c r="DL22" s="622"/>
      <c r="DM22" s="622"/>
      <c r="DN22" s="622"/>
      <c r="DO22" s="622"/>
      <c r="DP22" s="622"/>
      <c r="DQ22" s="622"/>
      <c r="DR22" s="622"/>
      <c r="DS22" s="622"/>
      <c r="DT22" s="622"/>
      <c r="DU22" s="622"/>
      <c r="DV22" s="622"/>
      <c r="DW22" s="622"/>
      <c r="DX22" s="622"/>
      <c r="DY22" s="622"/>
      <c r="DZ22" s="622"/>
      <c r="EA22" s="622"/>
      <c r="EB22" s="622"/>
      <c r="EC22" s="622"/>
      <c r="ED22" s="622"/>
      <c r="EE22" s="622"/>
      <c r="EF22" s="622"/>
      <c r="EG22" s="622"/>
      <c r="EH22" s="622"/>
      <c r="EI22" s="622"/>
      <c r="EJ22" s="622"/>
      <c r="EK22" s="622"/>
      <c r="EL22" s="622"/>
      <c r="EM22" s="622"/>
      <c r="EN22" s="622"/>
      <c r="EO22" s="622"/>
      <c r="EP22" s="622"/>
      <c r="EQ22" s="622"/>
      <c r="ER22" s="622"/>
      <c r="ES22" s="622"/>
      <c r="ET22" s="622"/>
      <c r="EU22" s="622"/>
      <c r="EV22" s="622"/>
      <c r="EW22" s="622"/>
      <c r="EX22" s="622"/>
      <c r="EY22" s="622"/>
      <c r="EZ22" s="622"/>
      <c r="FA22" s="622"/>
      <c r="FB22" s="622"/>
      <c r="FC22" s="622"/>
      <c r="FD22" s="622"/>
      <c r="FE22" s="622"/>
      <c r="FF22" s="622"/>
      <c r="FG22" s="622"/>
      <c r="FH22" s="622"/>
      <c r="FI22" s="622"/>
      <c r="FJ22" s="622"/>
      <c r="FK22" s="622"/>
      <c r="FL22" s="622"/>
      <c r="FM22" s="622"/>
      <c r="FN22" s="622"/>
      <c r="FO22" s="622"/>
      <c r="FP22" s="622"/>
      <c r="FQ22" s="622"/>
      <c r="FR22" s="622"/>
      <c r="FS22" s="622"/>
      <c r="FT22" s="622"/>
      <c r="FU22" s="622"/>
      <c r="FV22" s="622"/>
      <c r="FW22" s="622"/>
      <c r="FX22" s="622"/>
      <c r="FY22" s="622"/>
      <c r="FZ22" s="622"/>
      <c r="GA22" s="622"/>
      <c r="GB22" s="622"/>
      <c r="GC22" s="622"/>
      <c r="GD22" s="622"/>
      <c r="GE22" s="622"/>
      <c r="GF22" s="622"/>
      <c r="GG22" s="622"/>
      <c r="GH22" s="622"/>
      <c r="GI22" s="622"/>
      <c r="GJ22" s="622"/>
      <c r="GK22" s="622"/>
      <c r="GL22" s="622"/>
      <c r="GM22" s="622"/>
      <c r="GN22" s="622"/>
      <c r="GO22" s="622"/>
      <c r="GP22" s="622"/>
      <c r="GQ22" s="622"/>
      <c r="GR22" s="622"/>
      <c r="GS22" s="622"/>
    </row>
    <row r="23" spans="1:201" s="418" customFormat="1" ht="21.75" customHeight="1">
      <c r="A23" s="942" t="s">
        <v>497</v>
      </c>
      <c r="B23" s="630" t="s">
        <v>498</v>
      </c>
      <c r="C23" s="630" t="s">
        <v>150</v>
      </c>
      <c r="D23" s="630"/>
      <c r="E23" s="630"/>
      <c r="F23" s="630">
        <v>3.64</v>
      </c>
      <c r="G23" s="630"/>
      <c r="H23" s="630">
        <f t="shared" si="0"/>
        <v>3.64</v>
      </c>
      <c r="I23" s="642">
        <v>3450</v>
      </c>
      <c r="J23" s="642">
        <v>29</v>
      </c>
      <c r="K23" s="642">
        <v>3520</v>
      </c>
      <c r="L23" s="642">
        <v>17</v>
      </c>
      <c r="M23" s="640">
        <f aca="true" t="shared" si="6" ref="M23:N70">I23+K23</f>
        <v>6970</v>
      </c>
      <c r="N23" s="640">
        <f t="shared" si="6"/>
        <v>46</v>
      </c>
      <c r="O23" s="640">
        <f t="shared" si="2"/>
        <v>138</v>
      </c>
      <c r="P23" s="640">
        <f t="shared" si="3"/>
        <v>138</v>
      </c>
      <c r="Q23" s="647"/>
      <c r="R23" s="642"/>
      <c r="S23" s="642"/>
      <c r="T23" s="642">
        <f t="shared" si="4"/>
        <v>0</v>
      </c>
      <c r="W23" s="642"/>
      <c r="X23" s="642">
        <f t="shared" si="5"/>
        <v>29</v>
      </c>
      <c r="Y23" s="642"/>
      <c r="Z23" s="642"/>
      <c r="AA23" s="642"/>
      <c r="AB23" s="642"/>
      <c r="AC23" s="651">
        <v>1065.5435</v>
      </c>
      <c r="AD23" s="651">
        <v>5.8</v>
      </c>
      <c r="AE23" s="65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2"/>
      <c r="AV23" s="622"/>
      <c r="AW23" s="622"/>
      <c r="AX23" s="622"/>
      <c r="AY23" s="622"/>
      <c r="AZ23" s="622"/>
      <c r="BA23" s="622"/>
      <c r="BB23" s="622"/>
      <c r="BC23" s="622"/>
      <c r="BD23" s="622"/>
      <c r="BE23" s="622"/>
      <c r="BF23" s="622"/>
      <c r="BG23" s="622"/>
      <c r="BH23" s="622"/>
      <c r="BI23" s="622"/>
      <c r="BJ23" s="622"/>
      <c r="BK23" s="622"/>
      <c r="BL23" s="622"/>
      <c r="BM23" s="622"/>
      <c r="BN23" s="622"/>
      <c r="BO23" s="622"/>
      <c r="BP23" s="622"/>
      <c r="BQ23" s="622"/>
      <c r="BR23" s="622"/>
      <c r="BS23" s="622"/>
      <c r="BT23" s="622"/>
      <c r="BU23" s="622"/>
      <c r="BV23" s="622"/>
      <c r="BW23" s="622"/>
      <c r="BX23" s="622"/>
      <c r="BY23" s="622"/>
      <c r="BZ23" s="622"/>
      <c r="CA23" s="622"/>
      <c r="CB23" s="622"/>
      <c r="CC23" s="622"/>
      <c r="CD23" s="622"/>
      <c r="CE23" s="622"/>
      <c r="CF23" s="622"/>
      <c r="CG23" s="622"/>
      <c r="CH23" s="622"/>
      <c r="CI23" s="622"/>
      <c r="CJ23" s="622"/>
      <c r="CK23" s="622"/>
      <c r="CL23" s="622"/>
      <c r="CM23" s="622"/>
      <c r="CN23" s="622"/>
      <c r="CO23" s="622"/>
      <c r="CP23" s="622"/>
      <c r="CQ23" s="622"/>
      <c r="CR23" s="622"/>
      <c r="CS23" s="622"/>
      <c r="CT23" s="622"/>
      <c r="CU23" s="622"/>
      <c r="CV23" s="622"/>
      <c r="CW23" s="622"/>
      <c r="CX23" s="622"/>
      <c r="CY23" s="622"/>
      <c r="CZ23" s="622"/>
      <c r="DA23" s="622"/>
      <c r="DB23" s="622"/>
      <c r="DC23" s="622"/>
      <c r="DD23" s="622"/>
      <c r="DE23" s="622"/>
      <c r="DF23" s="622"/>
      <c r="DG23" s="622"/>
      <c r="DH23" s="622"/>
      <c r="DI23" s="622"/>
      <c r="DJ23" s="622"/>
      <c r="DK23" s="622"/>
      <c r="DL23" s="622"/>
      <c r="DM23" s="622"/>
      <c r="DN23" s="622"/>
      <c r="DO23" s="622"/>
      <c r="DP23" s="622"/>
      <c r="DQ23" s="622"/>
      <c r="DR23" s="622"/>
      <c r="DS23" s="622"/>
      <c r="DT23" s="622"/>
      <c r="DU23" s="622"/>
      <c r="DV23" s="622"/>
      <c r="DW23" s="622"/>
      <c r="DX23" s="622"/>
      <c r="DY23" s="622"/>
      <c r="DZ23" s="622"/>
      <c r="EA23" s="622"/>
      <c r="EB23" s="622"/>
      <c r="EC23" s="622"/>
      <c r="ED23" s="622"/>
      <c r="EE23" s="622"/>
      <c r="EF23" s="622"/>
      <c r="EG23" s="622"/>
      <c r="EH23" s="622"/>
      <c r="EI23" s="622"/>
      <c r="EJ23" s="622"/>
      <c r="EK23" s="622"/>
      <c r="EL23" s="622"/>
      <c r="EM23" s="622"/>
      <c r="EN23" s="622"/>
      <c r="EO23" s="622"/>
      <c r="EP23" s="622"/>
      <c r="EQ23" s="622"/>
      <c r="ER23" s="622"/>
      <c r="ES23" s="622"/>
      <c r="ET23" s="622"/>
      <c r="EU23" s="622"/>
      <c r="EV23" s="622"/>
      <c r="EW23" s="622"/>
      <c r="EX23" s="622"/>
      <c r="EY23" s="622"/>
      <c r="EZ23" s="622"/>
      <c r="FA23" s="622"/>
      <c r="FB23" s="622"/>
      <c r="FC23" s="622"/>
      <c r="FD23" s="622"/>
      <c r="FE23" s="622"/>
      <c r="FF23" s="622"/>
      <c r="FG23" s="622"/>
      <c r="FH23" s="622"/>
      <c r="FI23" s="622"/>
      <c r="FJ23" s="622"/>
      <c r="FK23" s="622"/>
      <c r="FL23" s="622"/>
      <c r="FM23" s="622"/>
      <c r="FN23" s="622"/>
      <c r="FO23" s="622"/>
      <c r="FP23" s="622"/>
      <c r="FQ23" s="622"/>
      <c r="FR23" s="622"/>
      <c r="FS23" s="622"/>
      <c r="FT23" s="622"/>
      <c r="FU23" s="622"/>
      <c r="FV23" s="622"/>
      <c r="FW23" s="622"/>
      <c r="FX23" s="622"/>
      <c r="FY23" s="622"/>
      <c r="FZ23" s="622"/>
      <c r="GA23" s="622"/>
      <c r="GB23" s="622"/>
      <c r="GC23" s="622"/>
      <c r="GD23" s="622"/>
      <c r="GE23" s="622"/>
      <c r="GF23" s="622"/>
      <c r="GG23" s="622"/>
      <c r="GH23" s="622"/>
      <c r="GI23" s="622"/>
      <c r="GJ23" s="622"/>
      <c r="GK23" s="622"/>
      <c r="GL23" s="622"/>
      <c r="GM23" s="622"/>
      <c r="GN23" s="622"/>
      <c r="GO23" s="622"/>
      <c r="GP23" s="622"/>
      <c r="GQ23" s="622"/>
      <c r="GR23" s="622"/>
      <c r="GS23" s="622"/>
    </row>
    <row r="24" spans="1:201" s="418" customFormat="1" ht="21.75" customHeight="1">
      <c r="A24" s="942" t="s">
        <v>499</v>
      </c>
      <c r="B24" s="630" t="s">
        <v>500</v>
      </c>
      <c r="C24" s="630" t="s">
        <v>150</v>
      </c>
      <c r="D24" s="630"/>
      <c r="E24" s="630"/>
      <c r="F24" s="630">
        <v>7.96</v>
      </c>
      <c r="G24" s="630"/>
      <c r="H24" s="630">
        <f t="shared" si="0"/>
        <v>7.96</v>
      </c>
      <c r="I24" s="642"/>
      <c r="J24" s="642"/>
      <c r="K24" s="642"/>
      <c r="L24" s="642"/>
      <c r="M24" s="640">
        <f t="shared" si="6"/>
        <v>0</v>
      </c>
      <c r="N24" s="640">
        <f t="shared" si="6"/>
        <v>0</v>
      </c>
      <c r="O24" s="640">
        <f t="shared" si="2"/>
        <v>0</v>
      </c>
      <c r="P24" s="640">
        <f t="shared" si="3"/>
        <v>0</v>
      </c>
      <c r="Q24" s="647"/>
      <c r="R24" s="642"/>
      <c r="S24" s="642"/>
      <c r="T24" s="642">
        <f t="shared" si="4"/>
        <v>0</v>
      </c>
      <c r="U24" s="642"/>
      <c r="V24" s="642"/>
      <c r="W24" s="642"/>
      <c r="X24" s="642">
        <f t="shared" si="5"/>
        <v>0</v>
      </c>
      <c r="Y24" s="642"/>
      <c r="Z24" s="642"/>
      <c r="AA24" s="642"/>
      <c r="AB24" s="642"/>
      <c r="AC24" s="647">
        <v>0</v>
      </c>
      <c r="AD24" s="651">
        <v>0</v>
      </c>
      <c r="AE24" s="652"/>
      <c r="AF24" s="622"/>
      <c r="AG24" s="622"/>
      <c r="AH24" s="622"/>
      <c r="AI24" s="622"/>
      <c r="AJ24" s="622"/>
      <c r="AK24" s="622"/>
      <c r="AL24" s="622"/>
      <c r="AM24" s="622"/>
      <c r="AN24" s="622"/>
      <c r="AO24" s="622"/>
      <c r="AP24" s="622"/>
      <c r="AQ24" s="622"/>
      <c r="AR24" s="622"/>
      <c r="AS24" s="622"/>
      <c r="AT24" s="622"/>
      <c r="AU24" s="622"/>
      <c r="AV24" s="622"/>
      <c r="AW24" s="622"/>
      <c r="AX24" s="622"/>
      <c r="AY24" s="622"/>
      <c r="AZ24" s="622"/>
      <c r="BA24" s="622"/>
      <c r="BB24" s="622"/>
      <c r="BC24" s="622"/>
      <c r="BD24" s="622"/>
      <c r="BE24" s="622"/>
      <c r="BF24" s="622"/>
      <c r="BG24" s="622"/>
      <c r="BH24" s="622"/>
      <c r="BI24" s="622"/>
      <c r="BJ24" s="622"/>
      <c r="BK24" s="622"/>
      <c r="BL24" s="622"/>
      <c r="BM24" s="622"/>
      <c r="BN24" s="622"/>
      <c r="BO24" s="622"/>
      <c r="BP24" s="622"/>
      <c r="BQ24" s="622"/>
      <c r="BR24" s="622"/>
      <c r="BS24" s="622"/>
      <c r="BT24" s="622"/>
      <c r="BU24" s="622"/>
      <c r="BV24" s="622"/>
      <c r="BW24" s="622"/>
      <c r="BX24" s="622"/>
      <c r="BY24" s="622"/>
      <c r="BZ24" s="622"/>
      <c r="CA24" s="622"/>
      <c r="CB24" s="622"/>
      <c r="CC24" s="622"/>
      <c r="CD24" s="622"/>
      <c r="CE24" s="622"/>
      <c r="CF24" s="622"/>
      <c r="CG24" s="622"/>
      <c r="CH24" s="622"/>
      <c r="CI24" s="622"/>
      <c r="CJ24" s="622"/>
      <c r="CK24" s="622"/>
      <c r="CL24" s="622"/>
      <c r="CM24" s="622"/>
      <c r="CN24" s="622"/>
      <c r="CO24" s="622"/>
      <c r="CP24" s="622"/>
      <c r="CQ24" s="622"/>
      <c r="CR24" s="622"/>
      <c r="CS24" s="622"/>
      <c r="CT24" s="622"/>
      <c r="CU24" s="622"/>
      <c r="CV24" s="622"/>
      <c r="CW24" s="622"/>
      <c r="CX24" s="622"/>
      <c r="CY24" s="622"/>
      <c r="CZ24" s="622"/>
      <c r="DA24" s="622"/>
      <c r="DB24" s="622"/>
      <c r="DC24" s="622"/>
      <c r="DD24" s="622"/>
      <c r="DE24" s="622"/>
      <c r="DF24" s="622"/>
      <c r="DG24" s="622"/>
      <c r="DH24" s="622"/>
      <c r="DI24" s="622"/>
      <c r="DJ24" s="622"/>
      <c r="DK24" s="622"/>
      <c r="DL24" s="622"/>
      <c r="DM24" s="622"/>
      <c r="DN24" s="622"/>
      <c r="DO24" s="622"/>
      <c r="DP24" s="622"/>
      <c r="DQ24" s="622"/>
      <c r="DR24" s="622"/>
      <c r="DS24" s="622"/>
      <c r="DT24" s="622"/>
      <c r="DU24" s="622"/>
      <c r="DV24" s="622"/>
      <c r="DW24" s="622"/>
      <c r="DX24" s="622"/>
      <c r="DY24" s="622"/>
      <c r="DZ24" s="622"/>
      <c r="EA24" s="622"/>
      <c r="EB24" s="622"/>
      <c r="EC24" s="622"/>
      <c r="ED24" s="622"/>
      <c r="EE24" s="622"/>
      <c r="EF24" s="622"/>
      <c r="EG24" s="622"/>
      <c r="EH24" s="622"/>
      <c r="EI24" s="622"/>
      <c r="EJ24" s="622"/>
      <c r="EK24" s="622"/>
      <c r="EL24" s="622"/>
      <c r="EM24" s="622"/>
      <c r="EN24" s="622"/>
      <c r="EO24" s="622"/>
      <c r="EP24" s="622"/>
      <c r="EQ24" s="622"/>
      <c r="ER24" s="622"/>
      <c r="ES24" s="622"/>
      <c r="ET24" s="622"/>
      <c r="EU24" s="622"/>
      <c r="EV24" s="622"/>
      <c r="EW24" s="622"/>
      <c r="EX24" s="622"/>
      <c r="EY24" s="622"/>
      <c r="EZ24" s="622"/>
      <c r="FA24" s="622"/>
      <c r="FB24" s="622"/>
      <c r="FC24" s="622"/>
      <c r="FD24" s="622"/>
      <c r="FE24" s="622"/>
      <c r="FF24" s="622"/>
      <c r="FG24" s="622"/>
      <c r="FH24" s="622"/>
      <c r="FI24" s="622"/>
      <c r="FJ24" s="622"/>
      <c r="FK24" s="622"/>
      <c r="FL24" s="622"/>
      <c r="FM24" s="622"/>
      <c r="FN24" s="622"/>
      <c r="FO24" s="622"/>
      <c r="FP24" s="622"/>
      <c r="FQ24" s="622"/>
      <c r="FR24" s="622"/>
      <c r="FS24" s="622"/>
      <c r="FT24" s="622"/>
      <c r="FU24" s="622"/>
      <c r="FV24" s="622"/>
      <c r="FW24" s="622"/>
      <c r="FX24" s="622"/>
      <c r="FY24" s="622"/>
      <c r="FZ24" s="622"/>
      <c r="GA24" s="622"/>
      <c r="GB24" s="622"/>
      <c r="GC24" s="622"/>
      <c r="GD24" s="622"/>
      <c r="GE24" s="622"/>
      <c r="GF24" s="622"/>
      <c r="GG24" s="622"/>
      <c r="GH24" s="622"/>
      <c r="GI24" s="622"/>
      <c r="GJ24" s="622"/>
      <c r="GK24" s="622"/>
      <c r="GL24" s="622"/>
      <c r="GM24" s="622"/>
      <c r="GN24" s="622"/>
      <c r="GO24" s="622"/>
      <c r="GP24" s="622"/>
      <c r="GQ24" s="622"/>
      <c r="GR24" s="622"/>
      <c r="GS24" s="622"/>
    </row>
    <row r="25" spans="1:201" s="418" customFormat="1" ht="21.75" customHeight="1">
      <c r="A25" s="942" t="s">
        <v>501</v>
      </c>
      <c r="B25" s="630" t="s">
        <v>502</v>
      </c>
      <c r="C25" s="630"/>
      <c r="D25" s="630" t="s">
        <v>150</v>
      </c>
      <c r="E25" s="630"/>
      <c r="F25" s="630">
        <v>26.88</v>
      </c>
      <c r="G25" s="630"/>
      <c r="H25" s="630">
        <f t="shared" si="0"/>
        <v>26.88</v>
      </c>
      <c r="I25" s="642">
        <v>660</v>
      </c>
      <c r="J25" s="642">
        <v>14</v>
      </c>
      <c r="K25" s="642">
        <v>900</v>
      </c>
      <c r="L25" s="642">
        <v>14</v>
      </c>
      <c r="M25" s="640">
        <f t="shared" si="6"/>
        <v>1560</v>
      </c>
      <c r="N25" s="640">
        <f t="shared" si="6"/>
        <v>28</v>
      </c>
      <c r="O25" s="640">
        <f t="shared" si="2"/>
        <v>84</v>
      </c>
      <c r="P25" s="640">
        <f t="shared" si="3"/>
        <v>84</v>
      </c>
      <c r="Q25" s="647"/>
      <c r="R25" s="642"/>
      <c r="S25" s="642"/>
      <c r="T25" s="642">
        <f t="shared" si="4"/>
        <v>0</v>
      </c>
      <c r="U25" s="642">
        <v>300</v>
      </c>
      <c r="V25" s="642">
        <v>1</v>
      </c>
      <c r="W25" s="642"/>
      <c r="X25" s="642">
        <f t="shared" si="5"/>
        <v>14</v>
      </c>
      <c r="Y25" s="642"/>
      <c r="Z25" s="642"/>
      <c r="AA25" s="642"/>
      <c r="AB25" s="642"/>
      <c r="AC25" s="647">
        <v>277.1681</v>
      </c>
      <c r="AD25" s="651">
        <v>4.95</v>
      </c>
      <c r="AE25" s="652"/>
      <c r="AF25" s="622"/>
      <c r="AG25" s="622"/>
      <c r="AH25" s="622"/>
      <c r="AI25" s="622"/>
      <c r="AJ25" s="622"/>
      <c r="AK25" s="622"/>
      <c r="AL25" s="622"/>
      <c r="AM25" s="622"/>
      <c r="AN25" s="622"/>
      <c r="AO25" s="622"/>
      <c r="AP25" s="622"/>
      <c r="AQ25" s="622"/>
      <c r="AR25" s="622"/>
      <c r="AS25" s="622"/>
      <c r="AT25" s="622"/>
      <c r="AU25" s="622"/>
      <c r="AV25" s="622"/>
      <c r="AW25" s="622"/>
      <c r="AX25" s="622"/>
      <c r="AY25" s="622"/>
      <c r="AZ25" s="622"/>
      <c r="BA25" s="622"/>
      <c r="BB25" s="622"/>
      <c r="BC25" s="622"/>
      <c r="BD25" s="622"/>
      <c r="BE25" s="622"/>
      <c r="BF25" s="622"/>
      <c r="BG25" s="622"/>
      <c r="BH25" s="622"/>
      <c r="BI25" s="622"/>
      <c r="BJ25" s="622"/>
      <c r="BK25" s="622"/>
      <c r="BL25" s="622"/>
      <c r="BM25" s="622"/>
      <c r="BN25" s="622"/>
      <c r="BO25" s="622"/>
      <c r="BP25" s="622"/>
      <c r="BQ25" s="622"/>
      <c r="BR25" s="622"/>
      <c r="BS25" s="622"/>
      <c r="BT25" s="622"/>
      <c r="BU25" s="622"/>
      <c r="BV25" s="622"/>
      <c r="BW25" s="622"/>
      <c r="BX25" s="622"/>
      <c r="BY25" s="622"/>
      <c r="BZ25" s="622"/>
      <c r="CA25" s="622"/>
      <c r="CB25" s="622"/>
      <c r="CC25" s="622"/>
      <c r="CD25" s="622"/>
      <c r="CE25" s="622"/>
      <c r="CF25" s="622"/>
      <c r="CG25" s="622"/>
      <c r="CH25" s="622"/>
      <c r="CI25" s="622"/>
      <c r="CJ25" s="622"/>
      <c r="CK25" s="622"/>
      <c r="CL25" s="622"/>
      <c r="CM25" s="622"/>
      <c r="CN25" s="622"/>
      <c r="CO25" s="622"/>
      <c r="CP25" s="622"/>
      <c r="CQ25" s="622"/>
      <c r="CR25" s="622"/>
      <c r="CS25" s="622"/>
      <c r="CT25" s="622"/>
      <c r="CU25" s="622"/>
      <c r="CV25" s="622"/>
      <c r="CW25" s="622"/>
      <c r="CX25" s="622"/>
      <c r="CY25" s="622"/>
      <c r="CZ25" s="622"/>
      <c r="DA25" s="622"/>
      <c r="DB25" s="622"/>
      <c r="DC25" s="622"/>
      <c r="DD25" s="622"/>
      <c r="DE25" s="622"/>
      <c r="DF25" s="622"/>
      <c r="DG25" s="622"/>
      <c r="DH25" s="622"/>
      <c r="DI25" s="622"/>
      <c r="DJ25" s="622"/>
      <c r="DK25" s="622"/>
      <c r="DL25" s="622"/>
      <c r="DM25" s="622"/>
      <c r="DN25" s="622"/>
      <c r="DO25" s="622"/>
      <c r="DP25" s="622"/>
      <c r="DQ25" s="622"/>
      <c r="DR25" s="622"/>
      <c r="DS25" s="622"/>
      <c r="DT25" s="622"/>
      <c r="DU25" s="622"/>
      <c r="DV25" s="622"/>
      <c r="DW25" s="622"/>
      <c r="DX25" s="622"/>
      <c r="DY25" s="622"/>
      <c r="DZ25" s="622"/>
      <c r="EA25" s="622"/>
      <c r="EB25" s="622"/>
      <c r="EC25" s="622"/>
      <c r="ED25" s="622"/>
      <c r="EE25" s="622"/>
      <c r="EF25" s="622"/>
      <c r="EG25" s="622"/>
      <c r="EH25" s="622"/>
      <c r="EI25" s="622"/>
      <c r="EJ25" s="622"/>
      <c r="EK25" s="622"/>
      <c r="EL25" s="622"/>
      <c r="EM25" s="622"/>
      <c r="EN25" s="622"/>
      <c r="EO25" s="622"/>
      <c r="EP25" s="622"/>
      <c r="EQ25" s="622"/>
      <c r="ER25" s="622"/>
      <c r="ES25" s="622"/>
      <c r="ET25" s="622"/>
      <c r="EU25" s="622"/>
      <c r="EV25" s="622"/>
      <c r="EW25" s="622"/>
      <c r="EX25" s="622"/>
      <c r="EY25" s="622"/>
      <c r="EZ25" s="622"/>
      <c r="FA25" s="622"/>
      <c r="FB25" s="622"/>
      <c r="FC25" s="622"/>
      <c r="FD25" s="622"/>
      <c r="FE25" s="622"/>
      <c r="FF25" s="622"/>
      <c r="FG25" s="622"/>
      <c r="FH25" s="622"/>
      <c r="FI25" s="622"/>
      <c r="FJ25" s="622"/>
      <c r="FK25" s="622"/>
      <c r="FL25" s="622"/>
      <c r="FM25" s="622"/>
      <c r="FN25" s="622"/>
      <c r="FO25" s="622"/>
      <c r="FP25" s="622"/>
      <c r="FQ25" s="622"/>
      <c r="FR25" s="622"/>
      <c r="FS25" s="622"/>
      <c r="FT25" s="622"/>
      <c r="FU25" s="622"/>
      <c r="FV25" s="622"/>
      <c r="FW25" s="622"/>
      <c r="FX25" s="622"/>
      <c r="FY25" s="622"/>
      <c r="FZ25" s="622"/>
      <c r="GA25" s="622"/>
      <c r="GB25" s="622"/>
      <c r="GC25" s="622"/>
      <c r="GD25" s="622"/>
      <c r="GE25" s="622"/>
      <c r="GF25" s="622"/>
      <c r="GG25" s="622"/>
      <c r="GH25" s="622"/>
      <c r="GI25" s="622"/>
      <c r="GJ25" s="622"/>
      <c r="GK25" s="622"/>
      <c r="GL25" s="622"/>
      <c r="GM25" s="622"/>
      <c r="GN25" s="622"/>
      <c r="GO25" s="622"/>
      <c r="GP25" s="622"/>
      <c r="GQ25" s="622"/>
      <c r="GR25" s="622"/>
      <c r="GS25" s="622"/>
    </row>
    <row r="26" spans="1:201" s="418" customFormat="1" ht="21.75" customHeight="1">
      <c r="A26" s="942" t="s">
        <v>503</v>
      </c>
      <c r="B26" s="630" t="s">
        <v>504</v>
      </c>
      <c r="C26" s="630"/>
      <c r="D26" s="630" t="s">
        <v>150</v>
      </c>
      <c r="E26" s="630"/>
      <c r="F26" s="630">
        <v>26.92</v>
      </c>
      <c r="G26" s="630"/>
      <c r="H26" s="630">
        <f t="shared" si="0"/>
        <v>26.92</v>
      </c>
      <c r="I26" s="642">
        <v>810</v>
      </c>
      <c r="J26" s="642">
        <v>23</v>
      </c>
      <c r="K26" s="642">
        <v>8410</v>
      </c>
      <c r="L26" s="642">
        <v>92</v>
      </c>
      <c r="M26" s="640">
        <f t="shared" si="6"/>
        <v>9220</v>
      </c>
      <c r="N26" s="640">
        <f t="shared" si="6"/>
        <v>115</v>
      </c>
      <c r="O26" s="640">
        <f t="shared" si="2"/>
        <v>345</v>
      </c>
      <c r="P26" s="640">
        <f t="shared" si="3"/>
        <v>345</v>
      </c>
      <c r="Q26" s="647"/>
      <c r="R26" s="642">
        <v>1</v>
      </c>
      <c r="S26" s="642"/>
      <c r="T26" s="642">
        <f t="shared" si="4"/>
        <v>1</v>
      </c>
      <c r="U26" s="642"/>
      <c r="V26" s="642"/>
      <c r="W26" s="642"/>
      <c r="X26" s="642">
        <f t="shared" si="5"/>
        <v>23</v>
      </c>
      <c r="Y26" s="642"/>
      <c r="Z26" s="642"/>
      <c r="AA26" s="642"/>
      <c r="AB26" s="642"/>
      <c r="AC26" s="647">
        <v>1373.5505</v>
      </c>
      <c r="AD26" s="651">
        <v>3.52</v>
      </c>
      <c r="AE26" s="652"/>
      <c r="AF26" s="622"/>
      <c r="AG26" s="622"/>
      <c r="AH26" s="622"/>
      <c r="AI26" s="622"/>
      <c r="AJ26" s="622"/>
      <c r="AK26" s="622"/>
      <c r="AL26" s="622"/>
      <c r="AM26" s="622"/>
      <c r="AN26" s="622"/>
      <c r="AO26" s="622"/>
      <c r="AP26" s="622"/>
      <c r="AQ26" s="622"/>
      <c r="AR26" s="622"/>
      <c r="AS26" s="622"/>
      <c r="AT26" s="622"/>
      <c r="AU26" s="622"/>
      <c r="AV26" s="622"/>
      <c r="AW26" s="622"/>
      <c r="AX26" s="622"/>
      <c r="AY26" s="622"/>
      <c r="AZ26" s="622"/>
      <c r="BA26" s="622"/>
      <c r="BB26" s="622"/>
      <c r="BC26" s="622"/>
      <c r="BD26" s="622"/>
      <c r="BE26" s="622"/>
      <c r="BF26" s="622"/>
      <c r="BG26" s="622"/>
      <c r="BH26" s="622"/>
      <c r="BI26" s="622"/>
      <c r="BJ26" s="622"/>
      <c r="BK26" s="622"/>
      <c r="BL26" s="622"/>
      <c r="BM26" s="622"/>
      <c r="BN26" s="622"/>
      <c r="BO26" s="622"/>
      <c r="BP26" s="622"/>
      <c r="BQ26" s="622"/>
      <c r="BR26" s="622"/>
      <c r="BS26" s="622"/>
      <c r="BT26" s="622"/>
      <c r="BU26" s="622"/>
      <c r="BV26" s="622"/>
      <c r="BW26" s="622"/>
      <c r="BX26" s="622"/>
      <c r="BY26" s="622"/>
      <c r="BZ26" s="622"/>
      <c r="CA26" s="622"/>
      <c r="CB26" s="622"/>
      <c r="CC26" s="622"/>
      <c r="CD26" s="622"/>
      <c r="CE26" s="622"/>
      <c r="CF26" s="622"/>
      <c r="CG26" s="622"/>
      <c r="CH26" s="622"/>
      <c r="CI26" s="622"/>
      <c r="CJ26" s="622"/>
      <c r="CK26" s="622"/>
      <c r="CL26" s="622"/>
      <c r="CM26" s="622"/>
      <c r="CN26" s="622"/>
      <c r="CO26" s="622"/>
      <c r="CP26" s="622"/>
      <c r="CQ26" s="622"/>
      <c r="CR26" s="622"/>
      <c r="CS26" s="622"/>
      <c r="CT26" s="622"/>
      <c r="CU26" s="622"/>
      <c r="CV26" s="622"/>
      <c r="CW26" s="622"/>
      <c r="CX26" s="622"/>
      <c r="CY26" s="622"/>
      <c r="CZ26" s="622"/>
      <c r="DA26" s="622"/>
      <c r="DB26" s="622"/>
      <c r="DC26" s="622"/>
      <c r="DD26" s="622"/>
      <c r="DE26" s="622"/>
      <c r="DF26" s="622"/>
      <c r="DG26" s="622"/>
      <c r="DH26" s="622"/>
      <c r="DI26" s="622"/>
      <c r="DJ26" s="622"/>
      <c r="DK26" s="622"/>
      <c r="DL26" s="622"/>
      <c r="DM26" s="622"/>
      <c r="DN26" s="622"/>
      <c r="DO26" s="622"/>
      <c r="DP26" s="622"/>
      <c r="DQ26" s="622"/>
      <c r="DR26" s="622"/>
      <c r="DS26" s="622"/>
      <c r="DT26" s="622"/>
      <c r="DU26" s="622"/>
      <c r="DV26" s="622"/>
      <c r="DW26" s="622"/>
      <c r="DX26" s="622"/>
      <c r="DY26" s="622"/>
      <c r="DZ26" s="622"/>
      <c r="EA26" s="622"/>
      <c r="EB26" s="622"/>
      <c r="EC26" s="622"/>
      <c r="ED26" s="622"/>
      <c r="EE26" s="622"/>
      <c r="EF26" s="622"/>
      <c r="EG26" s="622"/>
      <c r="EH26" s="622"/>
      <c r="EI26" s="622"/>
      <c r="EJ26" s="622"/>
      <c r="EK26" s="622"/>
      <c r="EL26" s="622"/>
      <c r="EM26" s="622"/>
      <c r="EN26" s="622"/>
      <c r="EO26" s="622"/>
      <c r="EP26" s="622"/>
      <c r="EQ26" s="622"/>
      <c r="ER26" s="622"/>
      <c r="ES26" s="622"/>
      <c r="ET26" s="622"/>
      <c r="EU26" s="622"/>
      <c r="EV26" s="622"/>
      <c r="EW26" s="622"/>
      <c r="EX26" s="622"/>
      <c r="EY26" s="622"/>
      <c r="EZ26" s="622"/>
      <c r="FA26" s="622"/>
      <c r="FB26" s="622"/>
      <c r="FC26" s="622"/>
      <c r="FD26" s="622"/>
      <c r="FE26" s="622"/>
      <c r="FF26" s="622"/>
      <c r="FG26" s="622"/>
      <c r="FH26" s="622"/>
      <c r="FI26" s="622"/>
      <c r="FJ26" s="622"/>
      <c r="FK26" s="622"/>
      <c r="FL26" s="622"/>
      <c r="FM26" s="622"/>
      <c r="FN26" s="622"/>
      <c r="FO26" s="622"/>
      <c r="FP26" s="622"/>
      <c r="FQ26" s="622"/>
      <c r="FR26" s="622"/>
      <c r="FS26" s="622"/>
      <c r="FT26" s="622"/>
      <c r="FU26" s="622"/>
      <c r="FV26" s="622"/>
      <c r="FW26" s="622"/>
      <c r="FX26" s="622"/>
      <c r="FY26" s="622"/>
      <c r="FZ26" s="622"/>
      <c r="GA26" s="622"/>
      <c r="GB26" s="622"/>
      <c r="GC26" s="622"/>
      <c r="GD26" s="622"/>
      <c r="GE26" s="622"/>
      <c r="GF26" s="622"/>
      <c r="GG26" s="622"/>
      <c r="GH26" s="622"/>
      <c r="GI26" s="622"/>
      <c r="GJ26" s="622"/>
      <c r="GK26" s="622"/>
      <c r="GL26" s="622"/>
      <c r="GM26" s="622"/>
      <c r="GN26" s="622"/>
      <c r="GO26" s="622"/>
      <c r="GP26" s="622"/>
      <c r="GQ26" s="622"/>
      <c r="GR26" s="622"/>
      <c r="GS26" s="622"/>
    </row>
    <row r="27" spans="1:201" s="418" customFormat="1" ht="21.75" customHeight="1">
      <c r="A27" s="942" t="s">
        <v>505</v>
      </c>
      <c r="B27" s="630" t="s">
        <v>506</v>
      </c>
      <c r="C27" s="630"/>
      <c r="D27" s="630"/>
      <c r="E27" s="630" t="s">
        <v>150</v>
      </c>
      <c r="F27" s="630"/>
      <c r="G27" s="630">
        <v>21.99</v>
      </c>
      <c r="H27" s="630">
        <f t="shared" si="0"/>
        <v>21.99</v>
      </c>
      <c r="I27" s="642"/>
      <c r="J27" s="640"/>
      <c r="K27" s="640">
        <v>3020</v>
      </c>
      <c r="L27" s="640">
        <v>37</v>
      </c>
      <c r="M27" s="640">
        <f t="shared" si="6"/>
        <v>3020</v>
      </c>
      <c r="N27" s="640">
        <f t="shared" si="6"/>
        <v>37</v>
      </c>
      <c r="O27" s="640">
        <f t="shared" si="2"/>
        <v>111</v>
      </c>
      <c r="P27" s="640">
        <f t="shared" si="3"/>
        <v>111</v>
      </c>
      <c r="Q27" s="647"/>
      <c r="R27" s="642"/>
      <c r="S27" s="642"/>
      <c r="T27" s="642">
        <f t="shared" si="4"/>
        <v>0</v>
      </c>
      <c r="U27" s="642">
        <v>300</v>
      </c>
      <c r="V27" s="642">
        <v>1</v>
      </c>
      <c r="W27" s="642"/>
      <c r="X27" s="642">
        <f t="shared" si="5"/>
        <v>0</v>
      </c>
      <c r="Y27" s="642"/>
      <c r="Z27" s="642"/>
      <c r="AA27" s="642"/>
      <c r="AB27" s="642"/>
      <c r="AC27" s="647">
        <v>677.8429</v>
      </c>
      <c r="AD27" s="651">
        <v>2.96</v>
      </c>
      <c r="AE27" s="652"/>
      <c r="AF27" s="622"/>
      <c r="AG27" s="622"/>
      <c r="AH27" s="622"/>
      <c r="AI27" s="622"/>
      <c r="AJ27" s="622"/>
      <c r="AK27" s="622"/>
      <c r="AL27" s="622"/>
      <c r="AM27" s="622"/>
      <c r="AN27" s="622"/>
      <c r="AO27" s="622"/>
      <c r="AP27" s="622"/>
      <c r="AQ27" s="622"/>
      <c r="AR27" s="622"/>
      <c r="AS27" s="622"/>
      <c r="AT27" s="622"/>
      <c r="AU27" s="622"/>
      <c r="AV27" s="622"/>
      <c r="AW27" s="622"/>
      <c r="AX27" s="622"/>
      <c r="AY27" s="622"/>
      <c r="AZ27" s="622"/>
      <c r="BA27" s="622"/>
      <c r="BB27" s="622"/>
      <c r="BC27" s="622"/>
      <c r="BD27" s="622"/>
      <c r="BE27" s="622"/>
      <c r="BF27" s="622"/>
      <c r="BG27" s="622"/>
      <c r="BH27" s="622"/>
      <c r="BI27" s="622"/>
      <c r="BJ27" s="622"/>
      <c r="BK27" s="622"/>
      <c r="BL27" s="622"/>
      <c r="BM27" s="622"/>
      <c r="BN27" s="622"/>
      <c r="BO27" s="622"/>
      <c r="BP27" s="622"/>
      <c r="BQ27" s="622"/>
      <c r="BR27" s="622"/>
      <c r="BS27" s="622"/>
      <c r="BT27" s="622"/>
      <c r="BU27" s="622"/>
      <c r="BV27" s="622"/>
      <c r="BW27" s="622"/>
      <c r="BX27" s="622"/>
      <c r="BY27" s="622"/>
      <c r="BZ27" s="622"/>
      <c r="CA27" s="622"/>
      <c r="CB27" s="622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  <c r="DI27" s="622"/>
      <c r="DJ27" s="622"/>
      <c r="DK27" s="622"/>
      <c r="DL27" s="622"/>
      <c r="DM27" s="622"/>
      <c r="DN27" s="622"/>
      <c r="DO27" s="622"/>
      <c r="DP27" s="622"/>
      <c r="DQ27" s="622"/>
      <c r="DR27" s="622"/>
      <c r="DS27" s="622"/>
      <c r="DT27" s="622"/>
      <c r="DU27" s="622"/>
      <c r="DV27" s="622"/>
      <c r="DW27" s="622"/>
      <c r="DX27" s="622"/>
      <c r="DY27" s="622"/>
      <c r="DZ27" s="622"/>
      <c r="EA27" s="622"/>
      <c r="EB27" s="622"/>
      <c r="EC27" s="622"/>
      <c r="ED27" s="622"/>
      <c r="EE27" s="622"/>
      <c r="EF27" s="622"/>
      <c r="EG27" s="622"/>
      <c r="EH27" s="622"/>
      <c r="EI27" s="622"/>
      <c r="EJ27" s="622"/>
      <c r="EK27" s="622"/>
      <c r="EL27" s="622"/>
      <c r="EM27" s="622"/>
      <c r="EN27" s="622"/>
      <c r="EO27" s="622"/>
      <c r="EP27" s="622"/>
      <c r="EQ27" s="622"/>
      <c r="ER27" s="622"/>
      <c r="ES27" s="622"/>
      <c r="ET27" s="622"/>
      <c r="EU27" s="622"/>
      <c r="EV27" s="622"/>
      <c r="EW27" s="622"/>
      <c r="EX27" s="622"/>
      <c r="EY27" s="622"/>
      <c r="EZ27" s="622"/>
      <c r="FA27" s="622"/>
      <c r="FB27" s="622"/>
      <c r="FC27" s="622"/>
      <c r="FD27" s="622"/>
      <c r="FE27" s="622"/>
      <c r="FF27" s="622"/>
      <c r="FG27" s="622"/>
      <c r="FH27" s="622"/>
      <c r="FI27" s="622"/>
      <c r="FJ27" s="622"/>
      <c r="FK27" s="622"/>
      <c r="FL27" s="622"/>
      <c r="FM27" s="622"/>
      <c r="FN27" s="622"/>
      <c r="FO27" s="622"/>
      <c r="FP27" s="622"/>
      <c r="FQ27" s="622"/>
      <c r="FR27" s="622"/>
      <c r="FS27" s="622"/>
      <c r="FT27" s="622"/>
      <c r="FU27" s="622"/>
      <c r="FV27" s="622"/>
      <c r="FW27" s="622"/>
      <c r="FX27" s="622"/>
      <c r="FY27" s="622"/>
      <c r="FZ27" s="622"/>
      <c r="GA27" s="622"/>
      <c r="GB27" s="622"/>
      <c r="GC27" s="622"/>
      <c r="GD27" s="622"/>
      <c r="GE27" s="622"/>
      <c r="GF27" s="622"/>
      <c r="GG27" s="622"/>
      <c r="GH27" s="622"/>
      <c r="GI27" s="622"/>
      <c r="GJ27" s="622"/>
      <c r="GK27" s="622"/>
      <c r="GL27" s="622"/>
      <c r="GM27" s="622"/>
      <c r="GN27" s="622"/>
      <c r="GO27" s="622"/>
      <c r="GP27" s="622"/>
      <c r="GQ27" s="622"/>
      <c r="GR27" s="622"/>
      <c r="GS27" s="622"/>
    </row>
    <row r="28" spans="1:201" s="418" customFormat="1" ht="21.75" customHeight="1">
      <c r="A28" s="942" t="s">
        <v>507</v>
      </c>
      <c r="B28" s="630" t="s">
        <v>508</v>
      </c>
      <c r="C28" s="630"/>
      <c r="D28" s="630"/>
      <c r="E28" s="630" t="s">
        <v>150</v>
      </c>
      <c r="F28" s="630"/>
      <c r="G28" s="630">
        <v>26.21</v>
      </c>
      <c r="H28" s="630">
        <f t="shared" si="0"/>
        <v>26.21</v>
      </c>
      <c r="I28" s="642"/>
      <c r="J28" s="642"/>
      <c r="K28" s="642">
        <v>3590</v>
      </c>
      <c r="L28" s="642">
        <v>51</v>
      </c>
      <c r="M28" s="640">
        <f t="shared" si="6"/>
        <v>3590</v>
      </c>
      <c r="N28" s="640">
        <f t="shared" si="6"/>
        <v>51</v>
      </c>
      <c r="O28" s="640">
        <f t="shared" si="2"/>
        <v>153</v>
      </c>
      <c r="P28" s="640">
        <f t="shared" si="3"/>
        <v>153</v>
      </c>
      <c r="Q28" s="647"/>
      <c r="R28" s="642"/>
      <c r="S28" s="642"/>
      <c r="T28" s="642">
        <f t="shared" si="4"/>
        <v>0</v>
      </c>
      <c r="U28" s="642"/>
      <c r="V28" s="642"/>
      <c r="W28" s="642"/>
      <c r="X28" s="642">
        <f t="shared" si="5"/>
        <v>0</v>
      </c>
      <c r="Y28" s="642"/>
      <c r="Z28" s="642"/>
      <c r="AA28" s="642"/>
      <c r="AB28" s="642"/>
      <c r="AC28" s="647">
        <v>582.43</v>
      </c>
      <c r="AD28" s="651">
        <v>0</v>
      </c>
      <c r="AE28" s="652"/>
      <c r="AF28" s="622"/>
      <c r="AG28" s="622"/>
      <c r="AH28" s="622"/>
      <c r="AI28" s="622"/>
      <c r="AJ28" s="622"/>
      <c r="AK28" s="622"/>
      <c r="AL28" s="622"/>
      <c r="AM28" s="622"/>
      <c r="AN28" s="622"/>
      <c r="AO28" s="622"/>
      <c r="AP28" s="622"/>
      <c r="AQ28" s="622"/>
      <c r="AR28" s="622"/>
      <c r="AS28" s="622"/>
      <c r="AT28" s="622"/>
      <c r="AU28" s="622"/>
      <c r="AV28" s="622"/>
      <c r="AW28" s="622"/>
      <c r="AX28" s="622"/>
      <c r="AY28" s="622"/>
      <c r="AZ28" s="622"/>
      <c r="BA28" s="622"/>
      <c r="BB28" s="622"/>
      <c r="BC28" s="622"/>
      <c r="BD28" s="622"/>
      <c r="BE28" s="622"/>
      <c r="BF28" s="622"/>
      <c r="BG28" s="622"/>
      <c r="BH28" s="622"/>
      <c r="BI28" s="622"/>
      <c r="BJ28" s="622"/>
      <c r="BK28" s="622"/>
      <c r="BL28" s="622"/>
      <c r="BM28" s="622"/>
      <c r="BN28" s="622"/>
      <c r="BO28" s="622"/>
      <c r="BP28" s="622"/>
      <c r="BQ28" s="622"/>
      <c r="BR28" s="622"/>
      <c r="BS28" s="622"/>
      <c r="BT28" s="622"/>
      <c r="BU28" s="622"/>
      <c r="BV28" s="622"/>
      <c r="BW28" s="622"/>
      <c r="BX28" s="622"/>
      <c r="BY28" s="622"/>
      <c r="BZ28" s="622"/>
      <c r="CA28" s="622"/>
      <c r="CB28" s="622"/>
      <c r="CC28" s="622"/>
      <c r="CD28" s="622"/>
      <c r="CE28" s="622"/>
      <c r="CF28" s="622"/>
      <c r="CG28" s="622"/>
      <c r="CH28" s="622"/>
      <c r="CI28" s="622"/>
      <c r="CJ28" s="622"/>
      <c r="CK28" s="622"/>
      <c r="CL28" s="622"/>
      <c r="CM28" s="622"/>
      <c r="CN28" s="622"/>
      <c r="CO28" s="622"/>
      <c r="CP28" s="622"/>
      <c r="CQ28" s="622"/>
      <c r="CR28" s="622"/>
      <c r="CS28" s="622"/>
      <c r="CT28" s="622"/>
      <c r="CU28" s="622"/>
      <c r="CV28" s="622"/>
      <c r="CW28" s="622"/>
      <c r="CX28" s="622"/>
      <c r="CY28" s="622"/>
      <c r="CZ28" s="622"/>
      <c r="DA28" s="622"/>
      <c r="DB28" s="622"/>
      <c r="DC28" s="622"/>
      <c r="DD28" s="622"/>
      <c r="DE28" s="622"/>
      <c r="DF28" s="622"/>
      <c r="DG28" s="622"/>
      <c r="DH28" s="622"/>
      <c r="DI28" s="622"/>
      <c r="DJ28" s="622"/>
      <c r="DK28" s="622"/>
      <c r="DL28" s="622"/>
      <c r="DM28" s="622"/>
      <c r="DN28" s="622"/>
      <c r="DO28" s="622"/>
      <c r="DP28" s="622"/>
      <c r="DQ28" s="622"/>
      <c r="DR28" s="622"/>
      <c r="DS28" s="622"/>
      <c r="DT28" s="622"/>
      <c r="DU28" s="622"/>
      <c r="DV28" s="622"/>
      <c r="DW28" s="622"/>
      <c r="DX28" s="622"/>
      <c r="DY28" s="622"/>
      <c r="DZ28" s="622"/>
      <c r="EA28" s="622"/>
      <c r="EB28" s="622"/>
      <c r="EC28" s="622"/>
      <c r="ED28" s="622"/>
      <c r="EE28" s="622"/>
      <c r="EF28" s="622"/>
      <c r="EG28" s="622"/>
      <c r="EH28" s="622"/>
      <c r="EI28" s="622"/>
      <c r="EJ28" s="622"/>
      <c r="EK28" s="622"/>
      <c r="EL28" s="622"/>
      <c r="EM28" s="622"/>
      <c r="EN28" s="622"/>
      <c r="EO28" s="622"/>
      <c r="EP28" s="622"/>
      <c r="EQ28" s="622"/>
      <c r="ER28" s="622"/>
      <c r="ES28" s="622"/>
      <c r="ET28" s="622"/>
      <c r="EU28" s="622"/>
      <c r="EV28" s="622"/>
      <c r="EW28" s="622"/>
      <c r="EX28" s="622"/>
      <c r="EY28" s="622"/>
      <c r="EZ28" s="622"/>
      <c r="FA28" s="622"/>
      <c r="FB28" s="622"/>
      <c r="FC28" s="622"/>
      <c r="FD28" s="622"/>
      <c r="FE28" s="622"/>
      <c r="FF28" s="622"/>
      <c r="FG28" s="622"/>
      <c r="FH28" s="622"/>
      <c r="FI28" s="622"/>
      <c r="FJ28" s="622"/>
      <c r="FK28" s="622"/>
      <c r="FL28" s="622"/>
      <c r="FM28" s="622"/>
      <c r="FN28" s="622"/>
      <c r="FO28" s="622"/>
      <c r="FP28" s="622"/>
      <c r="FQ28" s="622"/>
      <c r="FR28" s="622"/>
      <c r="FS28" s="622"/>
      <c r="FT28" s="622"/>
      <c r="FU28" s="622"/>
      <c r="FV28" s="622"/>
      <c r="FW28" s="622"/>
      <c r="FX28" s="622"/>
      <c r="FY28" s="622"/>
      <c r="FZ28" s="622"/>
      <c r="GA28" s="622"/>
      <c r="GB28" s="622"/>
      <c r="GC28" s="622"/>
      <c r="GD28" s="622"/>
      <c r="GE28" s="622"/>
      <c r="GF28" s="622"/>
      <c r="GG28" s="622"/>
      <c r="GH28" s="622"/>
      <c r="GI28" s="622"/>
      <c r="GJ28" s="622"/>
      <c r="GK28" s="622"/>
      <c r="GL28" s="622"/>
      <c r="GM28" s="622"/>
      <c r="GN28" s="622"/>
      <c r="GO28" s="622"/>
      <c r="GP28" s="622"/>
      <c r="GQ28" s="622"/>
      <c r="GR28" s="622"/>
      <c r="GS28" s="622"/>
    </row>
    <row r="29" spans="1:201" s="418" customFormat="1" ht="21.75" customHeight="1">
      <c r="A29" s="942" t="s">
        <v>509</v>
      </c>
      <c r="B29" s="630" t="s">
        <v>510</v>
      </c>
      <c r="C29" s="630"/>
      <c r="D29" s="630"/>
      <c r="E29" s="630" t="s">
        <v>150</v>
      </c>
      <c r="F29" s="630"/>
      <c r="G29" s="630">
        <v>20.28</v>
      </c>
      <c r="H29" s="630">
        <f t="shared" si="0"/>
        <v>20.28</v>
      </c>
      <c r="I29" s="642"/>
      <c r="J29" s="642"/>
      <c r="K29" s="642">
        <v>2590</v>
      </c>
      <c r="L29" s="642">
        <v>33</v>
      </c>
      <c r="M29" s="640">
        <f t="shared" si="6"/>
        <v>2590</v>
      </c>
      <c r="N29" s="640">
        <f t="shared" si="6"/>
        <v>33</v>
      </c>
      <c r="O29" s="640">
        <f t="shared" si="2"/>
        <v>99</v>
      </c>
      <c r="P29" s="640">
        <f t="shared" si="3"/>
        <v>99</v>
      </c>
      <c r="Q29" s="647"/>
      <c r="S29" s="642"/>
      <c r="T29" s="642">
        <f>R33</f>
        <v>1</v>
      </c>
      <c r="U29" s="642"/>
      <c r="V29" s="642"/>
      <c r="W29" s="642"/>
      <c r="X29" s="642">
        <f t="shared" si="5"/>
        <v>0</v>
      </c>
      <c r="Y29" s="642"/>
      <c r="Z29" s="642">
        <v>3</v>
      </c>
      <c r="AA29" s="642"/>
      <c r="AB29" s="642"/>
      <c r="AC29" s="647">
        <v>637.2</v>
      </c>
      <c r="AD29" s="651">
        <v>0</v>
      </c>
      <c r="AE29" s="652"/>
      <c r="AF29" s="622"/>
      <c r="AG29" s="622"/>
      <c r="AH29" s="622"/>
      <c r="AI29" s="622"/>
      <c r="AJ29" s="622"/>
      <c r="AK29" s="622"/>
      <c r="AL29" s="622"/>
      <c r="AM29" s="622"/>
      <c r="AN29" s="622"/>
      <c r="AO29" s="622"/>
      <c r="AP29" s="622"/>
      <c r="AQ29" s="622"/>
      <c r="AR29" s="622"/>
      <c r="AS29" s="622"/>
      <c r="AT29" s="622"/>
      <c r="AU29" s="622"/>
      <c r="AV29" s="622"/>
      <c r="AW29" s="622"/>
      <c r="AX29" s="622"/>
      <c r="AY29" s="622"/>
      <c r="AZ29" s="622"/>
      <c r="BA29" s="622"/>
      <c r="BB29" s="622"/>
      <c r="BC29" s="622"/>
      <c r="BD29" s="622"/>
      <c r="BE29" s="622"/>
      <c r="BF29" s="622"/>
      <c r="BG29" s="622"/>
      <c r="BH29" s="622"/>
      <c r="BI29" s="622"/>
      <c r="BJ29" s="622"/>
      <c r="BK29" s="622"/>
      <c r="BL29" s="622"/>
      <c r="BM29" s="622"/>
      <c r="BN29" s="622"/>
      <c r="BO29" s="622"/>
      <c r="BP29" s="622"/>
      <c r="BQ29" s="622"/>
      <c r="BR29" s="622"/>
      <c r="BS29" s="622"/>
      <c r="BT29" s="622"/>
      <c r="BU29" s="622"/>
      <c r="BV29" s="622"/>
      <c r="BW29" s="622"/>
      <c r="BX29" s="622"/>
      <c r="BY29" s="622"/>
      <c r="BZ29" s="622"/>
      <c r="CA29" s="622"/>
      <c r="CB29" s="622"/>
      <c r="CC29" s="622"/>
      <c r="CD29" s="622"/>
      <c r="CE29" s="622"/>
      <c r="CF29" s="622"/>
      <c r="CG29" s="622"/>
      <c r="CH29" s="622"/>
      <c r="CI29" s="622"/>
      <c r="CJ29" s="622"/>
      <c r="CK29" s="622"/>
      <c r="CL29" s="622"/>
      <c r="CM29" s="622"/>
      <c r="CN29" s="622"/>
      <c r="CO29" s="622"/>
      <c r="CP29" s="622"/>
      <c r="CQ29" s="622"/>
      <c r="CR29" s="622"/>
      <c r="CS29" s="622"/>
      <c r="CT29" s="622"/>
      <c r="CU29" s="622"/>
      <c r="CV29" s="622"/>
      <c r="CW29" s="622"/>
      <c r="CX29" s="622"/>
      <c r="CY29" s="622"/>
      <c r="CZ29" s="622"/>
      <c r="DA29" s="622"/>
      <c r="DB29" s="622"/>
      <c r="DC29" s="622"/>
      <c r="DD29" s="622"/>
      <c r="DE29" s="622"/>
      <c r="DF29" s="622"/>
      <c r="DG29" s="622"/>
      <c r="DH29" s="622"/>
      <c r="DI29" s="622"/>
      <c r="DJ29" s="622"/>
      <c r="DK29" s="622"/>
      <c r="DL29" s="622"/>
      <c r="DM29" s="622"/>
      <c r="DN29" s="622"/>
      <c r="DO29" s="622"/>
      <c r="DP29" s="622"/>
      <c r="DQ29" s="622"/>
      <c r="DR29" s="622"/>
      <c r="DS29" s="622"/>
      <c r="DT29" s="622"/>
      <c r="DU29" s="622"/>
      <c r="DV29" s="622"/>
      <c r="DW29" s="622"/>
      <c r="DX29" s="622"/>
      <c r="DY29" s="622"/>
      <c r="DZ29" s="622"/>
      <c r="EA29" s="622"/>
      <c r="EB29" s="622"/>
      <c r="EC29" s="622"/>
      <c r="ED29" s="622"/>
      <c r="EE29" s="622"/>
      <c r="EF29" s="622"/>
      <c r="EG29" s="622"/>
      <c r="EH29" s="622"/>
      <c r="EI29" s="622"/>
      <c r="EJ29" s="622"/>
      <c r="EK29" s="622"/>
      <c r="EL29" s="622"/>
      <c r="EM29" s="622"/>
      <c r="EN29" s="622"/>
      <c r="EO29" s="622"/>
      <c r="EP29" s="622"/>
      <c r="EQ29" s="622"/>
      <c r="ER29" s="622"/>
      <c r="ES29" s="622"/>
      <c r="ET29" s="622"/>
      <c r="EU29" s="622"/>
      <c r="EV29" s="622"/>
      <c r="EW29" s="622"/>
      <c r="EX29" s="622"/>
      <c r="EY29" s="622"/>
      <c r="EZ29" s="622"/>
      <c r="FA29" s="622"/>
      <c r="FB29" s="622"/>
      <c r="FC29" s="622"/>
      <c r="FD29" s="622"/>
      <c r="FE29" s="622"/>
      <c r="FF29" s="622"/>
      <c r="FG29" s="622"/>
      <c r="FH29" s="622"/>
      <c r="FI29" s="622"/>
      <c r="FJ29" s="622"/>
      <c r="FK29" s="622"/>
      <c r="FL29" s="622"/>
      <c r="FM29" s="622"/>
      <c r="FN29" s="622"/>
      <c r="FO29" s="622"/>
      <c r="FP29" s="622"/>
      <c r="FQ29" s="622"/>
      <c r="FR29" s="622"/>
      <c r="FS29" s="622"/>
      <c r="FT29" s="622"/>
      <c r="FU29" s="622"/>
      <c r="FV29" s="622"/>
      <c r="FW29" s="622"/>
      <c r="FX29" s="622"/>
      <c r="FY29" s="622"/>
      <c r="FZ29" s="622"/>
      <c r="GA29" s="622"/>
      <c r="GB29" s="622"/>
      <c r="GC29" s="622"/>
      <c r="GD29" s="622"/>
      <c r="GE29" s="622"/>
      <c r="GF29" s="622"/>
      <c r="GG29" s="622"/>
      <c r="GH29" s="622"/>
      <c r="GI29" s="622"/>
      <c r="GJ29" s="622"/>
      <c r="GK29" s="622"/>
      <c r="GL29" s="622"/>
      <c r="GM29" s="622"/>
      <c r="GN29" s="622"/>
      <c r="GO29" s="622"/>
      <c r="GP29" s="622"/>
      <c r="GQ29" s="622"/>
      <c r="GR29" s="622"/>
      <c r="GS29" s="622"/>
    </row>
    <row r="30" spans="1:201" s="418" customFormat="1" ht="21.75" customHeight="1">
      <c r="A30" s="942" t="s">
        <v>511</v>
      </c>
      <c r="B30" s="630" t="s">
        <v>512</v>
      </c>
      <c r="C30" s="630"/>
      <c r="D30" s="630" t="s">
        <v>150</v>
      </c>
      <c r="E30" s="630"/>
      <c r="F30" s="630">
        <v>49.07</v>
      </c>
      <c r="G30" s="630"/>
      <c r="H30" s="630">
        <f t="shared" si="0"/>
        <v>49.07</v>
      </c>
      <c r="I30" s="642">
        <v>860</v>
      </c>
      <c r="J30" s="642">
        <v>27</v>
      </c>
      <c r="K30" s="642">
        <v>760</v>
      </c>
      <c r="L30" s="642">
        <v>11</v>
      </c>
      <c r="M30" s="640">
        <f t="shared" si="6"/>
        <v>1620</v>
      </c>
      <c r="N30" s="640">
        <f t="shared" si="6"/>
        <v>38</v>
      </c>
      <c r="O30" s="640">
        <f t="shared" si="2"/>
        <v>114</v>
      </c>
      <c r="P30" s="640">
        <f t="shared" si="3"/>
        <v>114</v>
      </c>
      <c r="Q30" s="647"/>
      <c r="R30" s="642">
        <v>1</v>
      </c>
      <c r="S30" s="642"/>
      <c r="T30" s="642">
        <f t="shared" si="4"/>
        <v>1</v>
      </c>
      <c r="U30" s="642"/>
      <c r="V30" s="642"/>
      <c r="W30" s="642"/>
      <c r="X30" s="642">
        <f t="shared" si="5"/>
        <v>27</v>
      </c>
      <c r="Y30" s="642"/>
      <c r="Z30" s="642">
        <v>8</v>
      </c>
      <c r="AA30" s="642"/>
      <c r="AB30" s="642"/>
      <c r="AC30" s="647">
        <v>158.7488</v>
      </c>
      <c r="AD30" s="651">
        <v>12.94</v>
      </c>
      <c r="AE30" s="65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622"/>
      <c r="AR30" s="622"/>
      <c r="AS30" s="622"/>
      <c r="AT30" s="622"/>
      <c r="AU30" s="622"/>
      <c r="AV30" s="622"/>
      <c r="AW30" s="622"/>
      <c r="AX30" s="622"/>
      <c r="AY30" s="622"/>
      <c r="AZ30" s="622"/>
      <c r="BA30" s="622"/>
      <c r="BB30" s="622"/>
      <c r="BC30" s="622"/>
      <c r="BD30" s="622"/>
      <c r="BE30" s="622"/>
      <c r="BF30" s="622"/>
      <c r="BG30" s="622"/>
      <c r="BH30" s="622"/>
      <c r="BI30" s="622"/>
      <c r="BJ30" s="622"/>
      <c r="BK30" s="622"/>
      <c r="BL30" s="622"/>
      <c r="BM30" s="622"/>
      <c r="BN30" s="622"/>
      <c r="BO30" s="622"/>
      <c r="BP30" s="622"/>
      <c r="BQ30" s="622"/>
      <c r="BR30" s="622"/>
      <c r="BS30" s="622"/>
      <c r="BT30" s="622"/>
      <c r="BU30" s="622"/>
      <c r="BV30" s="622"/>
      <c r="BW30" s="622"/>
      <c r="BX30" s="622"/>
      <c r="BY30" s="622"/>
      <c r="BZ30" s="622"/>
      <c r="CA30" s="622"/>
      <c r="CB30" s="622"/>
      <c r="CC30" s="622"/>
      <c r="CD30" s="622"/>
      <c r="CE30" s="622"/>
      <c r="CF30" s="622"/>
      <c r="CG30" s="622"/>
      <c r="CH30" s="622"/>
      <c r="CI30" s="622"/>
      <c r="CJ30" s="622"/>
      <c r="CK30" s="622"/>
      <c r="CL30" s="622"/>
      <c r="CM30" s="622"/>
      <c r="CN30" s="622"/>
      <c r="CO30" s="622"/>
      <c r="CP30" s="622"/>
      <c r="CQ30" s="622"/>
      <c r="CR30" s="622"/>
      <c r="CS30" s="622"/>
      <c r="CT30" s="622"/>
      <c r="CU30" s="622"/>
      <c r="CV30" s="622"/>
      <c r="CW30" s="622"/>
      <c r="CX30" s="622"/>
      <c r="CY30" s="622"/>
      <c r="CZ30" s="622"/>
      <c r="DA30" s="622"/>
      <c r="DB30" s="622"/>
      <c r="DC30" s="622"/>
      <c r="DD30" s="622"/>
      <c r="DE30" s="622"/>
      <c r="DF30" s="622"/>
      <c r="DG30" s="622"/>
      <c r="DH30" s="622"/>
      <c r="DI30" s="622"/>
      <c r="DJ30" s="622"/>
      <c r="DK30" s="622"/>
      <c r="DL30" s="622"/>
      <c r="DM30" s="622"/>
      <c r="DN30" s="622"/>
      <c r="DO30" s="622"/>
      <c r="DP30" s="622"/>
      <c r="DQ30" s="622"/>
      <c r="DR30" s="622"/>
      <c r="DS30" s="622"/>
      <c r="DT30" s="622"/>
      <c r="DU30" s="622"/>
      <c r="DV30" s="622"/>
      <c r="DW30" s="622"/>
      <c r="DX30" s="622"/>
      <c r="DY30" s="622"/>
      <c r="DZ30" s="622"/>
      <c r="EA30" s="622"/>
      <c r="EB30" s="622"/>
      <c r="EC30" s="622"/>
      <c r="ED30" s="622"/>
      <c r="EE30" s="622"/>
      <c r="EF30" s="622"/>
      <c r="EG30" s="622"/>
      <c r="EH30" s="622"/>
      <c r="EI30" s="622"/>
      <c r="EJ30" s="622"/>
      <c r="EK30" s="622"/>
      <c r="EL30" s="622"/>
      <c r="EM30" s="622"/>
      <c r="EN30" s="622"/>
      <c r="EO30" s="622"/>
      <c r="EP30" s="622"/>
      <c r="EQ30" s="622"/>
      <c r="ER30" s="622"/>
      <c r="ES30" s="622"/>
      <c r="ET30" s="622"/>
      <c r="EU30" s="622"/>
      <c r="EV30" s="622"/>
      <c r="EW30" s="622"/>
      <c r="EX30" s="622"/>
      <c r="EY30" s="622"/>
      <c r="EZ30" s="622"/>
      <c r="FA30" s="622"/>
      <c r="FB30" s="622"/>
      <c r="FC30" s="622"/>
      <c r="FD30" s="622"/>
      <c r="FE30" s="622"/>
      <c r="FF30" s="622"/>
      <c r="FG30" s="622"/>
      <c r="FH30" s="622"/>
      <c r="FI30" s="622"/>
      <c r="FJ30" s="622"/>
      <c r="FK30" s="622"/>
      <c r="FL30" s="622"/>
      <c r="FM30" s="622"/>
      <c r="FN30" s="622"/>
      <c r="FO30" s="622"/>
      <c r="FP30" s="622"/>
      <c r="FQ30" s="622"/>
      <c r="FR30" s="622"/>
      <c r="FS30" s="622"/>
      <c r="FT30" s="622"/>
      <c r="FU30" s="622"/>
      <c r="FV30" s="622"/>
      <c r="FW30" s="622"/>
      <c r="FX30" s="622"/>
      <c r="FY30" s="622"/>
      <c r="FZ30" s="622"/>
      <c r="GA30" s="622"/>
      <c r="GB30" s="622"/>
      <c r="GC30" s="622"/>
      <c r="GD30" s="622"/>
      <c r="GE30" s="622"/>
      <c r="GF30" s="622"/>
      <c r="GG30" s="622"/>
      <c r="GH30" s="622"/>
      <c r="GI30" s="622"/>
      <c r="GJ30" s="622"/>
      <c r="GK30" s="622"/>
      <c r="GL30" s="622"/>
      <c r="GM30" s="622"/>
      <c r="GN30" s="622"/>
      <c r="GO30" s="622"/>
      <c r="GP30" s="622"/>
      <c r="GQ30" s="622"/>
      <c r="GR30" s="622"/>
      <c r="GS30" s="622"/>
    </row>
    <row r="31" spans="1:201" s="418" customFormat="1" ht="21.75" customHeight="1">
      <c r="A31" s="942" t="s">
        <v>513</v>
      </c>
      <c r="B31" s="630" t="s">
        <v>514</v>
      </c>
      <c r="C31" s="630"/>
      <c r="D31" s="630" t="s">
        <v>150</v>
      </c>
      <c r="E31" s="630"/>
      <c r="F31" s="630">
        <v>14.59</v>
      </c>
      <c r="G31" s="630"/>
      <c r="H31" s="630">
        <f t="shared" si="0"/>
        <v>14.59</v>
      </c>
      <c r="I31" s="642">
        <v>260</v>
      </c>
      <c r="J31" s="642">
        <v>10</v>
      </c>
      <c r="K31" s="642">
        <v>60</v>
      </c>
      <c r="L31" s="642">
        <v>3</v>
      </c>
      <c r="M31" s="640">
        <f t="shared" si="6"/>
        <v>320</v>
      </c>
      <c r="N31" s="640">
        <f t="shared" si="6"/>
        <v>13</v>
      </c>
      <c r="O31" s="640">
        <f t="shared" si="2"/>
        <v>39</v>
      </c>
      <c r="P31" s="640">
        <f t="shared" si="3"/>
        <v>39</v>
      </c>
      <c r="Q31" s="647"/>
      <c r="R31" s="642">
        <v>1</v>
      </c>
      <c r="S31" s="642"/>
      <c r="T31" s="642">
        <f t="shared" si="4"/>
        <v>1</v>
      </c>
      <c r="U31" s="642"/>
      <c r="V31" s="642"/>
      <c r="W31" s="642"/>
      <c r="X31" s="642">
        <f t="shared" si="5"/>
        <v>10</v>
      </c>
      <c r="Y31" s="642"/>
      <c r="Z31" s="642"/>
      <c r="AA31" s="642"/>
      <c r="AB31" s="642"/>
      <c r="AC31" s="647">
        <v>19.6787</v>
      </c>
      <c r="AD31" s="651">
        <v>12.93</v>
      </c>
      <c r="AE31" s="652"/>
      <c r="AF31" s="622"/>
      <c r="AG31" s="62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  <c r="AV31" s="622"/>
      <c r="AW31" s="622"/>
      <c r="AX31" s="622"/>
      <c r="AY31" s="622"/>
      <c r="AZ31" s="622"/>
      <c r="BA31" s="622"/>
      <c r="BB31" s="622"/>
      <c r="BC31" s="622"/>
      <c r="BD31" s="622"/>
      <c r="BE31" s="622"/>
      <c r="BF31" s="622"/>
      <c r="BG31" s="622"/>
      <c r="BH31" s="622"/>
      <c r="BI31" s="622"/>
      <c r="BJ31" s="622"/>
      <c r="BK31" s="622"/>
      <c r="BL31" s="622"/>
      <c r="BM31" s="622"/>
      <c r="BN31" s="622"/>
      <c r="BO31" s="622"/>
      <c r="BP31" s="622"/>
      <c r="BQ31" s="622"/>
      <c r="BR31" s="622"/>
      <c r="BS31" s="622"/>
      <c r="BT31" s="622"/>
      <c r="BU31" s="622"/>
      <c r="BV31" s="622"/>
      <c r="BW31" s="622"/>
      <c r="BX31" s="622"/>
      <c r="BY31" s="622"/>
      <c r="BZ31" s="622"/>
      <c r="CA31" s="622"/>
      <c r="CB31" s="622"/>
      <c r="CC31" s="622"/>
      <c r="CD31" s="622"/>
      <c r="CE31" s="622"/>
      <c r="CF31" s="622"/>
      <c r="CG31" s="622"/>
      <c r="CH31" s="622"/>
      <c r="CI31" s="622"/>
      <c r="CJ31" s="622"/>
      <c r="CK31" s="622"/>
      <c r="CL31" s="622"/>
      <c r="CM31" s="622"/>
      <c r="CN31" s="622"/>
      <c r="CO31" s="622"/>
      <c r="CP31" s="622"/>
      <c r="CQ31" s="622"/>
      <c r="CR31" s="622"/>
      <c r="CS31" s="622"/>
      <c r="CT31" s="622"/>
      <c r="CU31" s="622"/>
      <c r="CV31" s="622"/>
      <c r="CW31" s="622"/>
      <c r="CX31" s="622"/>
      <c r="CY31" s="622"/>
      <c r="CZ31" s="622"/>
      <c r="DA31" s="622"/>
      <c r="DB31" s="622"/>
      <c r="DC31" s="622"/>
      <c r="DD31" s="622"/>
      <c r="DE31" s="622"/>
      <c r="DF31" s="622"/>
      <c r="DG31" s="622"/>
      <c r="DH31" s="622"/>
      <c r="DI31" s="622"/>
      <c r="DJ31" s="622"/>
      <c r="DK31" s="622"/>
      <c r="DL31" s="622"/>
      <c r="DM31" s="622"/>
      <c r="DN31" s="622"/>
      <c r="DO31" s="622"/>
      <c r="DP31" s="622"/>
      <c r="DQ31" s="622"/>
      <c r="DR31" s="622"/>
      <c r="DS31" s="622"/>
      <c r="DT31" s="622"/>
      <c r="DU31" s="622"/>
      <c r="DV31" s="622"/>
      <c r="DW31" s="622"/>
      <c r="DX31" s="622"/>
      <c r="DY31" s="622"/>
      <c r="DZ31" s="622"/>
      <c r="EA31" s="622"/>
      <c r="EB31" s="622"/>
      <c r="EC31" s="622"/>
      <c r="ED31" s="622"/>
      <c r="EE31" s="622"/>
      <c r="EF31" s="622"/>
      <c r="EG31" s="622"/>
      <c r="EH31" s="622"/>
      <c r="EI31" s="622"/>
      <c r="EJ31" s="622"/>
      <c r="EK31" s="622"/>
      <c r="EL31" s="622"/>
      <c r="EM31" s="622"/>
      <c r="EN31" s="622"/>
      <c r="EO31" s="622"/>
      <c r="EP31" s="622"/>
      <c r="EQ31" s="622"/>
      <c r="ER31" s="622"/>
      <c r="ES31" s="622"/>
      <c r="ET31" s="622"/>
      <c r="EU31" s="622"/>
      <c r="EV31" s="622"/>
      <c r="EW31" s="622"/>
      <c r="EX31" s="622"/>
      <c r="EY31" s="622"/>
      <c r="EZ31" s="622"/>
      <c r="FA31" s="622"/>
      <c r="FB31" s="622"/>
      <c r="FC31" s="622"/>
      <c r="FD31" s="622"/>
      <c r="FE31" s="622"/>
      <c r="FF31" s="622"/>
      <c r="FG31" s="622"/>
      <c r="FH31" s="622"/>
      <c r="FI31" s="622"/>
      <c r="FJ31" s="622"/>
      <c r="FK31" s="622"/>
      <c r="FL31" s="622"/>
      <c r="FM31" s="622"/>
      <c r="FN31" s="622"/>
      <c r="FO31" s="622"/>
      <c r="FP31" s="622"/>
      <c r="FQ31" s="622"/>
      <c r="FR31" s="622"/>
      <c r="FS31" s="622"/>
      <c r="FT31" s="622"/>
      <c r="FU31" s="622"/>
      <c r="FV31" s="622"/>
      <c r="FW31" s="622"/>
      <c r="FX31" s="622"/>
      <c r="FY31" s="622"/>
      <c r="FZ31" s="622"/>
      <c r="GA31" s="622"/>
      <c r="GB31" s="622"/>
      <c r="GC31" s="622"/>
      <c r="GD31" s="622"/>
      <c r="GE31" s="622"/>
      <c r="GF31" s="622"/>
      <c r="GG31" s="622"/>
      <c r="GH31" s="622"/>
      <c r="GI31" s="622"/>
      <c r="GJ31" s="622"/>
      <c r="GK31" s="622"/>
      <c r="GL31" s="622"/>
      <c r="GM31" s="622"/>
      <c r="GN31" s="622"/>
      <c r="GO31" s="622"/>
      <c r="GP31" s="622"/>
      <c r="GQ31" s="622"/>
      <c r="GR31" s="622"/>
      <c r="GS31" s="622"/>
    </row>
    <row r="32" spans="1:201" s="418" customFormat="1" ht="21.75" customHeight="1">
      <c r="A32" s="942" t="s">
        <v>515</v>
      </c>
      <c r="B32" s="630" t="s">
        <v>516</v>
      </c>
      <c r="C32" s="630"/>
      <c r="D32" s="630" t="s">
        <v>150</v>
      </c>
      <c r="E32" s="630"/>
      <c r="F32" s="630">
        <v>33.66</v>
      </c>
      <c r="G32" s="630"/>
      <c r="H32" s="630">
        <f t="shared" si="0"/>
        <v>33.66</v>
      </c>
      <c r="I32" s="642">
        <v>720</v>
      </c>
      <c r="J32" s="642">
        <v>23</v>
      </c>
      <c r="K32" s="642">
        <v>40</v>
      </c>
      <c r="L32" s="642">
        <v>2</v>
      </c>
      <c r="M32" s="640">
        <f t="shared" si="6"/>
        <v>760</v>
      </c>
      <c r="N32" s="640">
        <f t="shared" si="6"/>
        <v>25</v>
      </c>
      <c r="O32" s="640">
        <f t="shared" si="2"/>
        <v>75</v>
      </c>
      <c r="P32" s="640">
        <f t="shared" si="3"/>
        <v>75</v>
      </c>
      <c r="Q32" s="647"/>
      <c r="R32" s="642">
        <v>1</v>
      </c>
      <c r="S32" s="642"/>
      <c r="T32" s="642">
        <f t="shared" si="4"/>
        <v>1</v>
      </c>
      <c r="U32" s="642"/>
      <c r="V32" s="642"/>
      <c r="W32" s="642"/>
      <c r="X32" s="642">
        <f t="shared" si="5"/>
        <v>23</v>
      </c>
      <c r="Y32" s="642"/>
      <c r="Z32" s="642">
        <v>2</v>
      </c>
      <c r="AA32" s="642"/>
      <c r="AB32" s="642"/>
      <c r="AC32" s="647">
        <v>94.9757</v>
      </c>
      <c r="AD32" s="651">
        <v>14.88</v>
      </c>
      <c r="AE32" s="652"/>
      <c r="AF32" s="622"/>
      <c r="AG32" s="62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2"/>
      <c r="AR32" s="622"/>
      <c r="AS32" s="622"/>
      <c r="AT32" s="622"/>
      <c r="AU32" s="622"/>
      <c r="AV32" s="622"/>
      <c r="AW32" s="622"/>
      <c r="AX32" s="622"/>
      <c r="AY32" s="622"/>
      <c r="AZ32" s="622"/>
      <c r="BA32" s="622"/>
      <c r="BB32" s="622"/>
      <c r="BC32" s="622"/>
      <c r="BD32" s="622"/>
      <c r="BE32" s="622"/>
      <c r="BF32" s="622"/>
      <c r="BG32" s="622"/>
      <c r="BH32" s="622"/>
      <c r="BI32" s="622"/>
      <c r="BJ32" s="622"/>
      <c r="BK32" s="622"/>
      <c r="BL32" s="622"/>
      <c r="BM32" s="622"/>
      <c r="BN32" s="622"/>
      <c r="BO32" s="622"/>
      <c r="BP32" s="622"/>
      <c r="BQ32" s="622"/>
      <c r="BR32" s="622"/>
      <c r="BS32" s="622"/>
      <c r="BT32" s="622"/>
      <c r="BU32" s="622"/>
      <c r="BV32" s="622"/>
      <c r="BW32" s="622"/>
      <c r="BX32" s="622"/>
      <c r="BY32" s="622"/>
      <c r="BZ32" s="622"/>
      <c r="CA32" s="622"/>
      <c r="CB32" s="622"/>
      <c r="CC32" s="622"/>
      <c r="CD32" s="622"/>
      <c r="CE32" s="622"/>
      <c r="CF32" s="622"/>
      <c r="CG32" s="622"/>
      <c r="CH32" s="622"/>
      <c r="CI32" s="622"/>
      <c r="CJ32" s="622"/>
      <c r="CK32" s="622"/>
      <c r="CL32" s="622"/>
      <c r="CM32" s="622"/>
      <c r="CN32" s="622"/>
      <c r="CO32" s="622"/>
      <c r="CP32" s="622"/>
      <c r="CQ32" s="622"/>
      <c r="CR32" s="622"/>
      <c r="CS32" s="622"/>
      <c r="CT32" s="622"/>
      <c r="CU32" s="622"/>
      <c r="CV32" s="622"/>
      <c r="CW32" s="622"/>
      <c r="CX32" s="622"/>
      <c r="CY32" s="622"/>
      <c r="CZ32" s="622"/>
      <c r="DA32" s="622"/>
      <c r="DB32" s="622"/>
      <c r="DC32" s="622"/>
      <c r="DD32" s="622"/>
      <c r="DE32" s="622"/>
      <c r="DF32" s="622"/>
      <c r="DG32" s="622"/>
      <c r="DH32" s="622"/>
      <c r="DI32" s="622"/>
      <c r="DJ32" s="622"/>
      <c r="DK32" s="622"/>
      <c r="DL32" s="622"/>
      <c r="DM32" s="622"/>
      <c r="DN32" s="622"/>
      <c r="DO32" s="622"/>
      <c r="DP32" s="622"/>
      <c r="DQ32" s="622"/>
      <c r="DR32" s="622"/>
      <c r="DS32" s="622"/>
      <c r="DT32" s="622"/>
      <c r="DU32" s="622"/>
      <c r="DV32" s="622"/>
      <c r="DW32" s="622"/>
      <c r="DX32" s="622"/>
      <c r="DY32" s="622"/>
      <c r="DZ32" s="622"/>
      <c r="EA32" s="622"/>
      <c r="EB32" s="622"/>
      <c r="EC32" s="622"/>
      <c r="ED32" s="622"/>
      <c r="EE32" s="622"/>
      <c r="EF32" s="622"/>
      <c r="EG32" s="622"/>
      <c r="EH32" s="622"/>
      <c r="EI32" s="622"/>
      <c r="EJ32" s="622"/>
      <c r="EK32" s="622"/>
      <c r="EL32" s="622"/>
      <c r="EM32" s="622"/>
      <c r="EN32" s="622"/>
      <c r="EO32" s="622"/>
      <c r="EP32" s="622"/>
      <c r="EQ32" s="622"/>
      <c r="ER32" s="622"/>
      <c r="ES32" s="622"/>
      <c r="ET32" s="622"/>
      <c r="EU32" s="622"/>
      <c r="EV32" s="622"/>
      <c r="EW32" s="622"/>
      <c r="EX32" s="622"/>
      <c r="EY32" s="622"/>
      <c r="EZ32" s="622"/>
      <c r="FA32" s="622"/>
      <c r="FB32" s="622"/>
      <c r="FC32" s="622"/>
      <c r="FD32" s="622"/>
      <c r="FE32" s="622"/>
      <c r="FF32" s="622"/>
      <c r="FG32" s="622"/>
      <c r="FH32" s="622"/>
      <c r="FI32" s="622"/>
      <c r="FJ32" s="622"/>
      <c r="FK32" s="622"/>
      <c r="FL32" s="622"/>
      <c r="FM32" s="622"/>
      <c r="FN32" s="622"/>
      <c r="FO32" s="622"/>
      <c r="FP32" s="622"/>
      <c r="FQ32" s="622"/>
      <c r="FR32" s="622"/>
      <c r="FS32" s="622"/>
      <c r="FT32" s="622"/>
      <c r="FU32" s="622"/>
      <c r="FV32" s="622"/>
      <c r="FW32" s="622"/>
      <c r="FX32" s="622"/>
      <c r="FY32" s="622"/>
      <c r="FZ32" s="622"/>
      <c r="GA32" s="622"/>
      <c r="GB32" s="622"/>
      <c r="GC32" s="622"/>
      <c r="GD32" s="622"/>
      <c r="GE32" s="622"/>
      <c r="GF32" s="622"/>
      <c r="GG32" s="622"/>
      <c r="GH32" s="622"/>
      <c r="GI32" s="622"/>
      <c r="GJ32" s="622"/>
      <c r="GK32" s="622"/>
      <c r="GL32" s="622"/>
      <c r="GM32" s="622"/>
      <c r="GN32" s="622"/>
      <c r="GO32" s="622"/>
      <c r="GP32" s="622"/>
      <c r="GQ32" s="622"/>
      <c r="GR32" s="622"/>
      <c r="GS32" s="622"/>
    </row>
    <row r="33" spans="1:201" s="418" customFormat="1" ht="21.75" customHeight="1">
      <c r="A33" s="942" t="s">
        <v>517</v>
      </c>
      <c r="B33" s="630" t="s">
        <v>518</v>
      </c>
      <c r="C33" s="630"/>
      <c r="D33" s="630" t="s">
        <v>150</v>
      </c>
      <c r="E33" s="630"/>
      <c r="F33" s="630">
        <v>71.54</v>
      </c>
      <c r="G33" s="630"/>
      <c r="H33" s="630">
        <f t="shared" si="0"/>
        <v>71.54</v>
      </c>
      <c r="I33" s="642">
        <v>2645</v>
      </c>
      <c r="J33" s="642">
        <v>42</v>
      </c>
      <c r="K33" s="642">
        <v>3160</v>
      </c>
      <c r="L33" s="642">
        <v>28</v>
      </c>
      <c r="M33" s="640">
        <f t="shared" si="6"/>
        <v>5805</v>
      </c>
      <c r="N33" s="640">
        <f t="shared" si="6"/>
        <v>70</v>
      </c>
      <c r="O33" s="640">
        <f t="shared" si="2"/>
        <v>210</v>
      </c>
      <c r="P33" s="640">
        <f t="shared" si="3"/>
        <v>210</v>
      </c>
      <c r="Q33" s="647"/>
      <c r="R33" s="642">
        <v>1</v>
      </c>
      <c r="S33" s="642"/>
      <c r="T33" s="642">
        <f t="shared" si="4"/>
        <v>1</v>
      </c>
      <c r="U33" s="642"/>
      <c r="V33" s="642"/>
      <c r="W33" s="642"/>
      <c r="X33" s="642">
        <f t="shared" si="5"/>
        <v>42</v>
      </c>
      <c r="Y33" s="642"/>
      <c r="Z33" s="642"/>
      <c r="AA33" s="642"/>
      <c r="AB33" s="642"/>
      <c r="AC33" s="647">
        <v>465.0726</v>
      </c>
      <c r="AD33" s="651">
        <v>9.48</v>
      </c>
      <c r="AE33" s="652"/>
      <c r="AF33" s="622"/>
      <c r="AG33" s="622"/>
      <c r="AH33" s="622"/>
      <c r="AI33" s="622"/>
      <c r="AJ33" s="622"/>
      <c r="AK33" s="622"/>
      <c r="AL33" s="622"/>
      <c r="AM33" s="622"/>
      <c r="AN33" s="622"/>
      <c r="AO33" s="622"/>
      <c r="AP33" s="622"/>
      <c r="AQ33" s="622"/>
      <c r="AR33" s="622"/>
      <c r="AS33" s="622"/>
      <c r="AT33" s="622"/>
      <c r="AU33" s="622"/>
      <c r="AV33" s="622"/>
      <c r="AW33" s="622"/>
      <c r="AX33" s="622"/>
      <c r="AY33" s="622"/>
      <c r="AZ33" s="622"/>
      <c r="BA33" s="622"/>
      <c r="BB33" s="622"/>
      <c r="BC33" s="622"/>
      <c r="BD33" s="622"/>
      <c r="BE33" s="622"/>
      <c r="BF33" s="622"/>
      <c r="BG33" s="622"/>
      <c r="BH33" s="622"/>
      <c r="BI33" s="622"/>
      <c r="BJ33" s="622"/>
      <c r="BK33" s="622"/>
      <c r="BL33" s="622"/>
      <c r="BM33" s="622"/>
      <c r="BN33" s="622"/>
      <c r="BO33" s="622"/>
      <c r="BP33" s="622"/>
      <c r="BQ33" s="622"/>
      <c r="BR33" s="622"/>
      <c r="BS33" s="622"/>
      <c r="BT33" s="622"/>
      <c r="BU33" s="622"/>
      <c r="BV33" s="622"/>
      <c r="BW33" s="622"/>
      <c r="BX33" s="622"/>
      <c r="BY33" s="622"/>
      <c r="BZ33" s="622"/>
      <c r="CA33" s="622"/>
      <c r="CB33" s="622"/>
      <c r="CC33" s="622"/>
      <c r="CD33" s="622"/>
      <c r="CE33" s="622"/>
      <c r="CF33" s="622"/>
      <c r="CG33" s="622"/>
      <c r="CH33" s="622"/>
      <c r="CI33" s="622"/>
      <c r="CJ33" s="622"/>
      <c r="CK33" s="622"/>
      <c r="CL33" s="622"/>
      <c r="CM33" s="622"/>
      <c r="CN33" s="622"/>
      <c r="CO33" s="622"/>
      <c r="CP33" s="622"/>
      <c r="CQ33" s="622"/>
      <c r="CR33" s="622"/>
      <c r="CS33" s="622"/>
      <c r="CT33" s="622"/>
      <c r="CU33" s="622"/>
      <c r="CV33" s="622"/>
      <c r="CW33" s="622"/>
      <c r="CX33" s="622"/>
      <c r="CY33" s="622"/>
      <c r="CZ33" s="622"/>
      <c r="DA33" s="622"/>
      <c r="DB33" s="622"/>
      <c r="DC33" s="622"/>
      <c r="DD33" s="622"/>
      <c r="DE33" s="622"/>
      <c r="DF33" s="622"/>
      <c r="DG33" s="622"/>
      <c r="DH33" s="622"/>
      <c r="DI33" s="622"/>
      <c r="DJ33" s="622"/>
      <c r="DK33" s="622"/>
      <c r="DL33" s="622"/>
      <c r="DM33" s="622"/>
      <c r="DN33" s="622"/>
      <c r="DO33" s="622"/>
      <c r="DP33" s="622"/>
      <c r="DQ33" s="622"/>
      <c r="DR33" s="622"/>
      <c r="DS33" s="622"/>
      <c r="DT33" s="622"/>
      <c r="DU33" s="622"/>
      <c r="DV33" s="622"/>
      <c r="DW33" s="622"/>
      <c r="DX33" s="622"/>
      <c r="DY33" s="622"/>
      <c r="DZ33" s="622"/>
      <c r="EA33" s="622"/>
      <c r="EB33" s="622"/>
      <c r="EC33" s="622"/>
      <c r="ED33" s="622"/>
      <c r="EE33" s="622"/>
      <c r="EF33" s="622"/>
      <c r="EG33" s="622"/>
      <c r="EH33" s="622"/>
      <c r="EI33" s="622"/>
      <c r="EJ33" s="622"/>
      <c r="EK33" s="622"/>
      <c r="EL33" s="622"/>
      <c r="EM33" s="622"/>
      <c r="EN33" s="622"/>
      <c r="EO33" s="622"/>
      <c r="EP33" s="622"/>
      <c r="EQ33" s="622"/>
      <c r="ER33" s="622"/>
      <c r="ES33" s="622"/>
      <c r="ET33" s="622"/>
      <c r="EU33" s="622"/>
      <c r="EV33" s="622"/>
      <c r="EW33" s="622"/>
      <c r="EX33" s="622"/>
      <c r="EY33" s="622"/>
      <c r="EZ33" s="622"/>
      <c r="FA33" s="622"/>
      <c r="FB33" s="622"/>
      <c r="FC33" s="622"/>
      <c r="FD33" s="622"/>
      <c r="FE33" s="622"/>
      <c r="FF33" s="622"/>
      <c r="FG33" s="622"/>
      <c r="FH33" s="622"/>
      <c r="FI33" s="622"/>
      <c r="FJ33" s="622"/>
      <c r="FK33" s="622"/>
      <c r="FL33" s="622"/>
      <c r="FM33" s="622"/>
      <c r="FN33" s="622"/>
      <c r="FO33" s="622"/>
      <c r="FP33" s="622"/>
      <c r="FQ33" s="622"/>
      <c r="FR33" s="622"/>
      <c r="FS33" s="622"/>
      <c r="FT33" s="622"/>
      <c r="FU33" s="622"/>
      <c r="FV33" s="622"/>
      <c r="FW33" s="622"/>
      <c r="FX33" s="622"/>
      <c r="FY33" s="622"/>
      <c r="FZ33" s="622"/>
      <c r="GA33" s="622"/>
      <c r="GB33" s="622"/>
      <c r="GC33" s="622"/>
      <c r="GD33" s="622"/>
      <c r="GE33" s="622"/>
      <c r="GF33" s="622"/>
      <c r="GG33" s="622"/>
      <c r="GH33" s="622"/>
      <c r="GI33" s="622"/>
      <c r="GJ33" s="622"/>
      <c r="GK33" s="622"/>
      <c r="GL33" s="622"/>
      <c r="GM33" s="622"/>
      <c r="GN33" s="622"/>
      <c r="GO33" s="622"/>
      <c r="GP33" s="622"/>
      <c r="GQ33" s="622"/>
      <c r="GR33" s="622"/>
      <c r="GS33" s="622"/>
    </row>
    <row r="34" spans="1:201" s="418" customFormat="1" ht="21.75" customHeight="1">
      <c r="A34" s="942" t="s">
        <v>519</v>
      </c>
      <c r="B34" s="630" t="s">
        <v>520</v>
      </c>
      <c r="C34" s="630"/>
      <c r="D34" s="630" t="s">
        <v>150</v>
      </c>
      <c r="E34" s="630"/>
      <c r="F34" s="630">
        <v>40.93</v>
      </c>
      <c r="G34" s="630"/>
      <c r="H34" s="630">
        <f t="shared" si="0"/>
        <v>40.93</v>
      </c>
      <c r="I34" s="642">
        <v>540</v>
      </c>
      <c r="J34" s="642">
        <v>20</v>
      </c>
      <c r="K34" s="640">
        <v>775</v>
      </c>
      <c r="L34" s="640">
        <v>11</v>
      </c>
      <c r="M34" s="640">
        <f t="shared" si="6"/>
        <v>1315</v>
      </c>
      <c r="N34" s="640">
        <f t="shared" si="6"/>
        <v>31</v>
      </c>
      <c r="O34" s="640">
        <f t="shared" si="2"/>
        <v>93</v>
      </c>
      <c r="P34" s="640">
        <f t="shared" si="3"/>
        <v>93</v>
      </c>
      <c r="Q34" s="647"/>
      <c r="R34" s="642"/>
      <c r="S34" s="642"/>
      <c r="T34" s="642">
        <f t="shared" si="4"/>
        <v>0</v>
      </c>
      <c r="U34" s="642"/>
      <c r="V34" s="642"/>
      <c r="W34" s="642"/>
      <c r="X34" s="642">
        <f t="shared" si="5"/>
        <v>20</v>
      </c>
      <c r="Y34" s="642"/>
      <c r="Z34" s="642"/>
      <c r="AA34" s="642"/>
      <c r="AB34" s="642"/>
      <c r="AC34" s="647">
        <v>137.2986</v>
      </c>
      <c r="AD34" s="651">
        <v>13.05</v>
      </c>
      <c r="AE34" s="652"/>
      <c r="AF34" s="622"/>
      <c r="AG34" s="622"/>
      <c r="AH34" s="622"/>
      <c r="AI34" s="622"/>
      <c r="AJ34" s="622"/>
      <c r="AK34" s="622"/>
      <c r="AL34" s="622"/>
      <c r="AM34" s="622"/>
      <c r="AN34" s="622"/>
      <c r="AO34" s="622"/>
      <c r="AP34" s="622"/>
      <c r="AQ34" s="622"/>
      <c r="AR34" s="622"/>
      <c r="AS34" s="622"/>
      <c r="AT34" s="622"/>
      <c r="AU34" s="622"/>
      <c r="AV34" s="622"/>
      <c r="AW34" s="622"/>
      <c r="AX34" s="622"/>
      <c r="AY34" s="622"/>
      <c r="AZ34" s="622"/>
      <c r="BA34" s="622"/>
      <c r="BB34" s="622"/>
      <c r="BC34" s="622"/>
      <c r="BD34" s="622"/>
      <c r="BE34" s="622"/>
      <c r="BF34" s="622"/>
      <c r="BG34" s="622"/>
      <c r="BH34" s="622"/>
      <c r="BI34" s="622"/>
      <c r="BJ34" s="622"/>
      <c r="BK34" s="622"/>
      <c r="BL34" s="622"/>
      <c r="BM34" s="622"/>
      <c r="BN34" s="622"/>
      <c r="BO34" s="622"/>
      <c r="BP34" s="622"/>
      <c r="BQ34" s="622"/>
      <c r="BR34" s="622"/>
      <c r="BS34" s="622"/>
      <c r="BT34" s="622"/>
      <c r="BU34" s="622"/>
      <c r="BV34" s="622"/>
      <c r="BW34" s="622"/>
      <c r="BX34" s="622"/>
      <c r="BY34" s="622"/>
      <c r="BZ34" s="622"/>
      <c r="CA34" s="622"/>
      <c r="CB34" s="622"/>
      <c r="CC34" s="622"/>
      <c r="CD34" s="622"/>
      <c r="CE34" s="622"/>
      <c r="CF34" s="622"/>
      <c r="CG34" s="622"/>
      <c r="CH34" s="622"/>
      <c r="CI34" s="622"/>
      <c r="CJ34" s="622"/>
      <c r="CK34" s="622"/>
      <c r="CL34" s="622"/>
      <c r="CM34" s="622"/>
      <c r="CN34" s="622"/>
      <c r="CO34" s="622"/>
      <c r="CP34" s="622"/>
      <c r="CQ34" s="622"/>
      <c r="CR34" s="622"/>
      <c r="CS34" s="622"/>
      <c r="CT34" s="622"/>
      <c r="CU34" s="622"/>
      <c r="CV34" s="622"/>
      <c r="CW34" s="622"/>
      <c r="CX34" s="622"/>
      <c r="CY34" s="622"/>
      <c r="CZ34" s="622"/>
      <c r="DA34" s="622"/>
      <c r="DB34" s="622"/>
      <c r="DC34" s="622"/>
      <c r="DD34" s="622"/>
      <c r="DE34" s="622"/>
      <c r="DF34" s="622"/>
      <c r="DG34" s="622"/>
      <c r="DH34" s="622"/>
      <c r="DI34" s="622"/>
      <c r="DJ34" s="622"/>
      <c r="DK34" s="622"/>
      <c r="DL34" s="622"/>
      <c r="DM34" s="622"/>
      <c r="DN34" s="622"/>
      <c r="DO34" s="622"/>
      <c r="DP34" s="622"/>
      <c r="DQ34" s="622"/>
      <c r="DR34" s="622"/>
      <c r="DS34" s="622"/>
      <c r="DT34" s="622"/>
      <c r="DU34" s="622"/>
      <c r="DV34" s="622"/>
      <c r="DW34" s="622"/>
      <c r="DX34" s="622"/>
      <c r="DY34" s="622"/>
      <c r="DZ34" s="622"/>
      <c r="EA34" s="622"/>
      <c r="EB34" s="622"/>
      <c r="EC34" s="622"/>
      <c r="ED34" s="622"/>
      <c r="EE34" s="622"/>
      <c r="EF34" s="622"/>
      <c r="EG34" s="622"/>
      <c r="EH34" s="622"/>
      <c r="EI34" s="622"/>
      <c r="EJ34" s="622"/>
      <c r="EK34" s="622"/>
      <c r="EL34" s="622"/>
      <c r="EM34" s="622"/>
      <c r="EN34" s="622"/>
      <c r="EO34" s="622"/>
      <c r="EP34" s="622"/>
      <c r="EQ34" s="622"/>
      <c r="ER34" s="622"/>
      <c r="ES34" s="622"/>
      <c r="ET34" s="622"/>
      <c r="EU34" s="622"/>
      <c r="EV34" s="622"/>
      <c r="EW34" s="622"/>
      <c r="EX34" s="622"/>
      <c r="EY34" s="622"/>
      <c r="EZ34" s="622"/>
      <c r="FA34" s="622"/>
      <c r="FB34" s="622"/>
      <c r="FC34" s="622"/>
      <c r="FD34" s="622"/>
      <c r="FE34" s="622"/>
      <c r="FF34" s="622"/>
      <c r="FG34" s="622"/>
      <c r="FH34" s="622"/>
      <c r="FI34" s="622"/>
      <c r="FJ34" s="622"/>
      <c r="FK34" s="622"/>
      <c r="FL34" s="622"/>
      <c r="FM34" s="622"/>
      <c r="FN34" s="622"/>
      <c r="FO34" s="622"/>
      <c r="FP34" s="622"/>
      <c r="FQ34" s="622"/>
      <c r="FR34" s="622"/>
      <c r="FS34" s="622"/>
      <c r="FT34" s="622"/>
      <c r="FU34" s="622"/>
      <c r="FV34" s="622"/>
      <c r="FW34" s="622"/>
      <c r="FX34" s="622"/>
      <c r="FY34" s="622"/>
      <c r="FZ34" s="622"/>
      <c r="GA34" s="622"/>
      <c r="GB34" s="622"/>
      <c r="GC34" s="622"/>
      <c r="GD34" s="622"/>
      <c r="GE34" s="622"/>
      <c r="GF34" s="622"/>
      <c r="GG34" s="622"/>
      <c r="GH34" s="622"/>
      <c r="GI34" s="622"/>
      <c r="GJ34" s="622"/>
      <c r="GK34" s="622"/>
      <c r="GL34" s="622"/>
      <c r="GM34" s="622"/>
      <c r="GN34" s="622"/>
      <c r="GO34" s="622"/>
      <c r="GP34" s="622"/>
      <c r="GQ34" s="622"/>
      <c r="GR34" s="622"/>
      <c r="GS34" s="622"/>
    </row>
    <row r="35" spans="1:201" s="418" customFormat="1" ht="21.75" customHeight="1">
      <c r="A35" s="942" t="s">
        <v>521</v>
      </c>
      <c r="B35" s="630" t="s">
        <v>522</v>
      </c>
      <c r="C35" s="630"/>
      <c r="D35" s="630" t="s">
        <v>150</v>
      </c>
      <c r="E35" s="630"/>
      <c r="F35" s="630">
        <v>109.16</v>
      </c>
      <c r="G35" s="630"/>
      <c r="H35" s="630">
        <f t="shared" si="0"/>
        <v>109.16</v>
      </c>
      <c r="I35" s="642">
        <v>2150</v>
      </c>
      <c r="J35" s="642">
        <v>71</v>
      </c>
      <c r="K35" s="640">
        <v>2295</v>
      </c>
      <c r="L35" s="640">
        <v>18</v>
      </c>
      <c r="M35" s="640">
        <f t="shared" si="6"/>
        <v>4445</v>
      </c>
      <c r="N35" s="640">
        <f t="shared" si="6"/>
        <v>89</v>
      </c>
      <c r="O35" s="640">
        <f t="shared" si="2"/>
        <v>267</v>
      </c>
      <c r="P35" s="640">
        <f t="shared" si="3"/>
        <v>267</v>
      </c>
      <c r="Q35" s="647"/>
      <c r="R35" s="642"/>
      <c r="S35" s="642"/>
      <c r="T35" s="642">
        <f t="shared" si="4"/>
        <v>0</v>
      </c>
      <c r="U35" s="642"/>
      <c r="V35" s="642"/>
      <c r="W35" s="642"/>
      <c r="X35" s="642">
        <f t="shared" si="5"/>
        <v>71</v>
      </c>
      <c r="Y35" s="642"/>
      <c r="Z35" s="642"/>
      <c r="AA35" s="642"/>
      <c r="AB35" s="642"/>
      <c r="AC35" s="647">
        <v>405.4135</v>
      </c>
      <c r="AD35" s="651">
        <v>15.83</v>
      </c>
      <c r="AE35" s="652"/>
      <c r="AF35" s="622"/>
      <c r="AG35" s="622"/>
      <c r="AH35" s="622"/>
      <c r="AI35" s="622"/>
      <c r="AJ35" s="622"/>
      <c r="AK35" s="622"/>
      <c r="AL35" s="622"/>
      <c r="AM35" s="622"/>
      <c r="AN35" s="622"/>
      <c r="AO35" s="622"/>
      <c r="AP35" s="622"/>
      <c r="AQ35" s="622"/>
      <c r="AR35" s="622"/>
      <c r="AS35" s="622"/>
      <c r="AT35" s="622"/>
      <c r="AU35" s="622"/>
      <c r="AV35" s="622"/>
      <c r="AW35" s="622"/>
      <c r="AX35" s="622"/>
      <c r="AY35" s="622"/>
      <c r="AZ35" s="622"/>
      <c r="BA35" s="622"/>
      <c r="BB35" s="622"/>
      <c r="BC35" s="622"/>
      <c r="BD35" s="622"/>
      <c r="BE35" s="622"/>
      <c r="BF35" s="622"/>
      <c r="BG35" s="622"/>
      <c r="BH35" s="622"/>
      <c r="BI35" s="622"/>
      <c r="BJ35" s="622"/>
      <c r="BK35" s="622"/>
      <c r="BL35" s="622"/>
      <c r="BM35" s="622"/>
      <c r="BN35" s="622"/>
      <c r="BO35" s="622"/>
      <c r="BP35" s="622"/>
      <c r="BQ35" s="622"/>
      <c r="BR35" s="622"/>
      <c r="BS35" s="622"/>
      <c r="BT35" s="622"/>
      <c r="BU35" s="622"/>
      <c r="BV35" s="622"/>
      <c r="BW35" s="622"/>
      <c r="BX35" s="622"/>
      <c r="BY35" s="622"/>
      <c r="BZ35" s="622"/>
      <c r="CA35" s="622"/>
      <c r="CB35" s="622"/>
      <c r="CC35" s="622"/>
      <c r="CD35" s="622"/>
      <c r="CE35" s="622"/>
      <c r="CF35" s="622"/>
      <c r="CG35" s="622"/>
      <c r="CH35" s="622"/>
      <c r="CI35" s="622"/>
      <c r="CJ35" s="622"/>
      <c r="CK35" s="622"/>
      <c r="CL35" s="622"/>
      <c r="CM35" s="622"/>
      <c r="CN35" s="622"/>
      <c r="CO35" s="622"/>
      <c r="CP35" s="622"/>
      <c r="CQ35" s="622"/>
      <c r="CR35" s="622"/>
      <c r="CS35" s="622"/>
      <c r="CT35" s="622"/>
      <c r="CU35" s="622"/>
      <c r="CV35" s="622"/>
      <c r="CW35" s="622"/>
      <c r="CX35" s="622"/>
      <c r="CY35" s="622"/>
      <c r="CZ35" s="622"/>
      <c r="DA35" s="622"/>
      <c r="DB35" s="622"/>
      <c r="DC35" s="622"/>
      <c r="DD35" s="622"/>
      <c r="DE35" s="622"/>
      <c r="DF35" s="622"/>
      <c r="DG35" s="622"/>
      <c r="DH35" s="622"/>
      <c r="DI35" s="622"/>
      <c r="DJ35" s="622"/>
      <c r="DK35" s="622"/>
      <c r="DL35" s="622"/>
      <c r="DM35" s="622"/>
      <c r="DN35" s="622"/>
      <c r="DO35" s="622"/>
      <c r="DP35" s="622"/>
      <c r="DQ35" s="622"/>
      <c r="DR35" s="622"/>
      <c r="DS35" s="622"/>
      <c r="DT35" s="622"/>
      <c r="DU35" s="622"/>
      <c r="DV35" s="622"/>
      <c r="DW35" s="622"/>
      <c r="DX35" s="622"/>
      <c r="DY35" s="622"/>
      <c r="DZ35" s="622"/>
      <c r="EA35" s="622"/>
      <c r="EB35" s="622"/>
      <c r="EC35" s="622"/>
      <c r="ED35" s="622"/>
      <c r="EE35" s="622"/>
      <c r="EF35" s="622"/>
      <c r="EG35" s="622"/>
      <c r="EH35" s="622"/>
      <c r="EI35" s="622"/>
      <c r="EJ35" s="622"/>
      <c r="EK35" s="622"/>
      <c r="EL35" s="622"/>
      <c r="EM35" s="622"/>
      <c r="EN35" s="622"/>
      <c r="EO35" s="622"/>
      <c r="EP35" s="622"/>
      <c r="EQ35" s="622"/>
      <c r="ER35" s="622"/>
      <c r="ES35" s="622"/>
      <c r="ET35" s="622"/>
      <c r="EU35" s="622"/>
      <c r="EV35" s="622"/>
      <c r="EW35" s="622"/>
      <c r="EX35" s="622"/>
      <c r="EY35" s="622"/>
      <c r="EZ35" s="622"/>
      <c r="FA35" s="622"/>
      <c r="FB35" s="622"/>
      <c r="FC35" s="622"/>
      <c r="FD35" s="622"/>
      <c r="FE35" s="622"/>
      <c r="FF35" s="622"/>
      <c r="FG35" s="622"/>
      <c r="FH35" s="622"/>
      <c r="FI35" s="622"/>
      <c r="FJ35" s="622"/>
      <c r="FK35" s="622"/>
      <c r="FL35" s="622"/>
      <c r="FM35" s="622"/>
      <c r="FN35" s="622"/>
      <c r="FO35" s="622"/>
      <c r="FP35" s="622"/>
      <c r="FQ35" s="622"/>
      <c r="FR35" s="622"/>
      <c r="FS35" s="622"/>
      <c r="FT35" s="622"/>
      <c r="FU35" s="622"/>
      <c r="FV35" s="622"/>
      <c r="FW35" s="622"/>
      <c r="FX35" s="622"/>
      <c r="FY35" s="622"/>
      <c r="FZ35" s="622"/>
      <c r="GA35" s="622"/>
      <c r="GB35" s="622"/>
      <c r="GC35" s="622"/>
      <c r="GD35" s="622"/>
      <c r="GE35" s="622"/>
      <c r="GF35" s="622"/>
      <c r="GG35" s="622"/>
      <c r="GH35" s="622"/>
      <c r="GI35" s="622"/>
      <c r="GJ35" s="622"/>
      <c r="GK35" s="622"/>
      <c r="GL35" s="622"/>
      <c r="GM35" s="622"/>
      <c r="GN35" s="622"/>
      <c r="GO35" s="622"/>
      <c r="GP35" s="622"/>
      <c r="GQ35" s="622"/>
      <c r="GR35" s="622"/>
      <c r="GS35" s="622"/>
    </row>
    <row r="36" spans="1:201" s="418" customFormat="1" ht="21.75" customHeight="1">
      <c r="A36" s="942" t="s">
        <v>523</v>
      </c>
      <c r="B36" s="630" t="s">
        <v>524</v>
      </c>
      <c r="C36" s="630"/>
      <c r="D36" s="630" t="s">
        <v>150</v>
      </c>
      <c r="E36" s="630"/>
      <c r="F36" s="633">
        <v>30.12</v>
      </c>
      <c r="G36" s="630"/>
      <c r="H36" s="630">
        <f t="shared" si="0"/>
        <v>30.12</v>
      </c>
      <c r="I36" s="642">
        <v>730</v>
      </c>
      <c r="J36" s="642">
        <v>26</v>
      </c>
      <c r="K36" s="643">
        <v>166.3</v>
      </c>
      <c r="L36" s="640">
        <v>5</v>
      </c>
      <c r="M36" s="643">
        <f t="shared" si="6"/>
        <v>896.3</v>
      </c>
      <c r="N36" s="640">
        <f t="shared" si="6"/>
        <v>31</v>
      </c>
      <c r="O36" s="640">
        <f t="shared" si="2"/>
        <v>93</v>
      </c>
      <c r="P36" s="640">
        <f t="shared" si="3"/>
        <v>93</v>
      </c>
      <c r="Q36" s="647"/>
      <c r="R36" s="642"/>
      <c r="S36" s="642"/>
      <c r="T36" s="642">
        <f t="shared" si="4"/>
        <v>0</v>
      </c>
      <c r="U36" s="642"/>
      <c r="V36" s="642"/>
      <c r="W36" s="642"/>
      <c r="X36" s="642">
        <f t="shared" si="5"/>
        <v>26</v>
      </c>
      <c r="Y36" s="642"/>
      <c r="Z36" s="642"/>
      <c r="AA36" s="642"/>
      <c r="AB36" s="642"/>
      <c r="AC36" s="647">
        <v>104.168</v>
      </c>
      <c r="AD36" s="651">
        <v>17.12</v>
      </c>
      <c r="AE36" s="652"/>
      <c r="AF36" s="622"/>
      <c r="AG36" s="622"/>
      <c r="AH36" s="622"/>
      <c r="AI36" s="622"/>
      <c r="AJ36" s="622"/>
      <c r="AK36" s="622"/>
      <c r="AL36" s="622"/>
      <c r="AM36" s="622"/>
      <c r="AN36" s="622"/>
      <c r="AO36" s="622"/>
      <c r="AP36" s="622"/>
      <c r="AQ36" s="622"/>
      <c r="AR36" s="622"/>
      <c r="AS36" s="622"/>
      <c r="AT36" s="622"/>
      <c r="AU36" s="622"/>
      <c r="AV36" s="622"/>
      <c r="AW36" s="622"/>
      <c r="AX36" s="622"/>
      <c r="AY36" s="622"/>
      <c r="AZ36" s="622"/>
      <c r="BA36" s="622"/>
      <c r="BB36" s="622"/>
      <c r="BC36" s="622"/>
      <c r="BD36" s="622"/>
      <c r="BE36" s="622"/>
      <c r="BF36" s="622"/>
      <c r="BG36" s="622"/>
      <c r="BH36" s="622"/>
      <c r="BI36" s="622"/>
      <c r="BJ36" s="622"/>
      <c r="BK36" s="622"/>
      <c r="BL36" s="622"/>
      <c r="BM36" s="622"/>
      <c r="BN36" s="622"/>
      <c r="BO36" s="622"/>
      <c r="BP36" s="622"/>
      <c r="BQ36" s="622"/>
      <c r="BR36" s="622"/>
      <c r="BS36" s="622"/>
      <c r="BT36" s="622"/>
      <c r="BU36" s="622"/>
      <c r="BV36" s="622"/>
      <c r="BW36" s="622"/>
      <c r="BX36" s="622"/>
      <c r="BY36" s="622"/>
      <c r="BZ36" s="622"/>
      <c r="CA36" s="622"/>
      <c r="CB36" s="622"/>
      <c r="CC36" s="622"/>
      <c r="CD36" s="622"/>
      <c r="CE36" s="622"/>
      <c r="CF36" s="622"/>
      <c r="CG36" s="622"/>
      <c r="CH36" s="622"/>
      <c r="CI36" s="622"/>
      <c r="CJ36" s="622"/>
      <c r="CK36" s="622"/>
      <c r="CL36" s="622"/>
      <c r="CM36" s="622"/>
      <c r="CN36" s="622"/>
      <c r="CO36" s="622"/>
      <c r="CP36" s="622"/>
      <c r="CQ36" s="622"/>
      <c r="CR36" s="622"/>
      <c r="CS36" s="622"/>
      <c r="CT36" s="622"/>
      <c r="CU36" s="622"/>
      <c r="CV36" s="622"/>
      <c r="CW36" s="622"/>
      <c r="CX36" s="622"/>
      <c r="CY36" s="622"/>
      <c r="CZ36" s="622"/>
      <c r="DA36" s="622"/>
      <c r="DB36" s="622"/>
      <c r="DC36" s="622"/>
      <c r="DD36" s="622"/>
      <c r="DE36" s="622"/>
      <c r="DF36" s="622"/>
      <c r="DG36" s="622"/>
      <c r="DH36" s="622"/>
      <c r="DI36" s="622"/>
      <c r="DJ36" s="622"/>
      <c r="DK36" s="622"/>
      <c r="DL36" s="622"/>
      <c r="DM36" s="622"/>
      <c r="DN36" s="622"/>
      <c r="DO36" s="622"/>
      <c r="DP36" s="622"/>
      <c r="DQ36" s="622"/>
      <c r="DR36" s="622"/>
      <c r="DS36" s="622"/>
      <c r="DT36" s="622"/>
      <c r="DU36" s="622"/>
      <c r="DV36" s="622"/>
      <c r="DW36" s="622"/>
      <c r="DX36" s="622"/>
      <c r="DY36" s="622"/>
      <c r="DZ36" s="622"/>
      <c r="EA36" s="622"/>
      <c r="EB36" s="622"/>
      <c r="EC36" s="622"/>
      <c r="ED36" s="622"/>
      <c r="EE36" s="622"/>
      <c r="EF36" s="622"/>
      <c r="EG36" s="622"/>
      <c r="EH36" s="622"/>
      <c r="EI36" s="622"/>
      <c r="EJ36" s="622"/>
      <c r="EK36" s="622"/>
      <c r="EL36" s="622"/>
      <c r="EM36" s="622"/>
      <c r="EN36" s="622"/>
      <c r="EO36" s="622"/>
      <c r="EP36" s="622"/>
      <c r="EQ36" s="622"/>
      <c r="ER36" s="622"/>
      <c r="ES36" s="622"/>
      <c r="ET36" s="622"/>
      <c r="EU36" s="622"/>
      <c r="EV36" s="622"/>
      <c r="EW36" s="622"/>
      <c r="EX36" s="622"/>
      <c r="EY36" s="622"/>
      <c r="EZ36" s="622"/>
      <c r="FA36" s="622"/>
      <c r="FB36" s="622"/>
      <c r="FC36" s="622"/>
      <c r="FD36" s="622"/>
      <c r="FE36" s="622"/>
      <c r="FF36" s="622"/>
      <c r="FG36" s="622"/>
      <c r="FH36" s="622"/>
      <c r="FI36" s="622"/>
      <c r="FJ36" s="622"/>
      <c r="FK36" s="622"/>
      <c r="FL36" s="622"/>
      <c r="FM36" s="622"/>
      <c r="FN36" s="622"/>
      <c r="FO36" s="622"/>
      <c r="FP36" s="622"/>
      <c r="FQ36" s="622"/>
      <c r="FR36" s="622"/>
      <c r="FS36" s="622"/>
      <c r="FT36" s="622"/>
      <c r="FU36" s="622"/>
      <c r="FV36" s="622"/>
      <c r="FW36" s="622"/>
      <c r="FX36" s="622"/>
      <c r="FY36" s="622"/>
      <c r="FZ36" s="622"/>
      <c r="GA36" s="622"/>
      <c r="GB36" s="622"/>
      <c r="GC36" s="622"/>
      <c r="GD36" s="622"/>
      <c r="GE36" s="622"/>
      <c r="GF36" s="622"/>
      <c r="GG36" s="622"/>
      <c r="GH36" s="622"/>
      <c r="GI36" s="622"/>
      <c r="GJ36" s="622"/>
      <c r="GK36" s="622"/>
      <c r="GL36" s="622"/>
      <c r="GM36" s="622"/>
      <c r="GN36" s="622"/>
      <c r="GO36" s="622"/>
      <c r="GP36" s="622"/>
      <c r="GQ36" s="622"/>
      <c r="GR36" s="622"/>
      <c r="GS36" s="622"/>
    </row>
    <row r="37" spans="1:201" s="418" customFormat="1" ht="21.75" customHeight="1">
      <c r="A37" s="942" t="s">
        <v>525</v>
      </c>
      <c r="B37" s="630" t="s">
        <v>526</v>
      </c>
      <c r="C37" s="630"/>
      <c r="D37" s="630"/>
      <c r="E37" s="630" t="s">
        <v>150</v>
      </c>
      <c r="F37" s="630"/>
      <c r="G37" s="630">
        <v>49.56</v>
      </c>
      <c r="H37" s="630">
        <f t="shared" si="0"/>
        <v>49.56</v>
      </c>
      <c r="I37" s="642"/>
      <c r="J37" s="642"/>
      <c r="K37" s="640">
        <v>950</v>
      </c>
      <c r="L37" s="640">
        <v>28</v>
      </c>
      <c r="M37" s="640">
        <f t="shared" si="6"/>
        <v>950</v>
      </c>
      <c r="N37" s="640">
        <f t="shared" si="6"/>
        <v>28</v>
      </c>
      <c r="O37" s="640">
        <f t="shared" si="2"/>
        <v>84</v>
      </c>
      <c r="P37" s="640">
        <f t="shared" si="3"/>
        <v>84</v>
      </c>
      <c r="Q37" s="647"/>
      <c r="R37" s="642"/>
      <c r="S37" s="642"/>
      <c r="T37" s="642">
        <f t="shared" si="4"/>
        <v>0</v>
      </c>
      <c r="U37" s="642"/>
      <c r="V37" s="642"/>
      <c r="W37" s="642"/>
      <c r="X37" s="642">
        <f t="shared" si="5"/>
        <v>0</v>
      </c>
      <c r="Y37" s="642"/>
      <c r="Z37" s="642"/>
      <c r="AA37" s="642"/>
      <c r="AB37" s="642"/>
      <c r="AC37" s="647">
        <v>242.21</v>
      </c>
      <c r="AD37" s="651">
        <v>0</v>
      </c>
      <c r="AE37" s="652"/>
      <c r="AF37" s="622"/>
      <c r="AG37" s="622"/>
      <c r="AH37" s="622"/>
      <c r="AI37" s="622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  <c r="AT37" s="622"/>
      <c r="AU37" s="622"/>
      <c r="AV37" s="622"/>
      <c r="AW37" s="622"/>
      <c r="AX37" s="622"/>
      <c r="AY37" s="622"/>
      <c r="AZ37" s="622"/>
      <c r="BA37" s="622"/>
      <c r="BB37" s="622"/>
      <c r="BC37" s="622"/>
      <c r="BD37" s="622"/>
      <c r="BE37" s="622"/>
      <c r="BF37" s="622"/>
      <c r="BG37" s="622"/>
      <c r="BH37" s="622"/>
      <c r="BI37" s="622"/>
      <c r="BJ37" s="622"/>
      <c r="BK37" s="622"/>
      <c r="BL37" s="622"/>
      <c r="BM37" s="622"/>
      <c r="BN37" s="622"/>
      <c r="BO37" s="622"/>
      <c r="BP37" s="622"/>
      <c r="BQ37" s="622"/>
      <c r="BR37" s="622"/>
      <c r="BS37" s="622"/>
      <c r="BT37" s="622"/>
      <c r="BU37" s="622"/>
      <c r="BV37" s="622"/>
      <c r="BW37" s="622"/>
      <c r="BX37" s="622"/>
      <c r="BY37" s="622"/>
      <c r="BZ37" s="622"/>
      <c r="CA37" s="622"/>
      <c r="CB37" s="622"/>
      <c r="CC37" s="622"/>
      <c r="CD37" s="622"/>
      <c r="CE37" s="622"/>
      <c r="CF37" s="622"/>
      <c r="CG37" s="622"/>
      <c r="CH37" s="622"/>
      <c r="CI37" s="622"/>
      <c r="CJ37" s="622"/>
      <c r="CK37" s="622"/>
      <c r="CL37" s="622"/>
      <c r="CM37" s="622"/>
      <c r="CN37" s="622"/>
      <c r="CO37" s="622"/>
      <c r="CP37" s="622"/>
      <c r="CQ37" s="622"/>
      <c r="CR37" s="622"/>
      <c r="CS37" s="622"/>
      <c r="CT37" s="622"/>
      <c r="CU37" s="622"/>
      <c r="CV37" s="622"/>
      <c r="CW37" s="622"/>
      <c r="CX37" s="622"/>
      <c r="CY37" s="622"/>
      <c r="CZ37" s="622"/>
      <c r="DA37" s="622"/>
      <c r="DB37" s="622"/>
      <c r="DC37" s="622"/>
      <c r="DD37" s="622"/>
      <c r="DE37" s="622"/>
      <c r="DF37" s="622"/>
      <c r="DG37" s="622"/>
      <c r="DH37" s="622"/>
      <c r="DI37" s="622"/>
      <c r="DJ37" s="622"/>
      <c r="DK37" s="622"/>
      <c r="DL37" s="622"/>
      <c r="DM37" s="622"/>
      <c r="DN37" s="622"/>
      <c r="DO37" s="622"/>
      <c r="DP37" s="622"/>
      <c r="DQ37" s="622"/>
      <c r="DR37" s="622"/>
      <c r="DS37" s="622"/>
      <c r="DT37" s="622"/>
      <c r="DU37" s="622"/>
      <c r="DV37" s="622"/>
      <c r="DW37" s="622"/>
      <c r="DX37" s="622"/>
      <c r="DY37" s="622"/>
      <c r="DZ37" s="622"/>
      <c r="EA37" s="622"/>
      <c r="EB37" s="622"/>
      <c r="EC37" s="622"/>
      <c r="ED37" s="622"/>
      <c r="EE37" s="622"/>
      <c r="EF37" s="622"/>
      <c r="EG37" s="622"/>
      <c r="EH37" s="622"/>
      <c r="EI37" s="622"/>
      <c r="EJ37" s="622"/>
      <c r="EK37" s="622"/>
      <c r="EL37" s="622"/>
      <c r="EM37" s="622"/>
      <c r="EN37" s="622"/>
      <c r="EO37" s="622"/>
      <c r="EP37" s="622"/>
      <c r="EQ37" s="622"/>
      <c r="ER37" s="622"/>
      <c r="ES37" s="622"/>
      <c r="ET37" s="622"/>
      <c r="EU37" s="622"/>
      <c r="EV37" s="622"/>
      <c r="EW37" s="622"/>
      <c r="EX37" s="622"/>
      <c r="EY37" s="622"/>
      <c r="EZ37" s="622"/>
      <c r="FA37" s="622"/>
      <c r="FB37" s="622"/>
      <c r="FC37" s="622"/>
      <c r="FD37" s="622"/>
      <c r="FE37" s="622"/>
      <c r="FF37" s="622"/>
      <c r="FG37" s="622"/>
      <c r="FH37" s="622"/>
      <c r="FI37" s="622"/>
      <c r="FJ37" s="622"/>
      <c r="FK37" s="622"/>
      <c r="FL37" s="622"/>
      <c r="FM37" s="622"/>
      <c r="FN37" s="622"/>
      <c r="FO37" s="622"/>
      <c r="FP37" s="622"/>
      <c r="FQ37" s="622"/>
      <c r="FR37" s="622"/>
      <c r="FS37" s="622"/>
      <c r="FT37" s="622"/>
      <c r="FU37" s="622"/>
      <c r="FV37" s="622"/>
      <c r="FW37" s="622"/>
      <c r="FX37" s="622"/>
      <c r="FY37" s="622"/>
      <c r="FZ37" s="622"/>
      <c r="GA37" s="622"/>
      <c r="GB37" s="622"/>
      <c r="GC37" s="622"/>
      <c r="GD37" s="622"/>
      <c r="GE37" s="622"/>
      <c r="GF37" s="622"/>
      <c r="GG37" s="622"/>
      <c r="GH37" s="622"/>
      <c r="GI37" s="622"/>
      <c r="GJ37" s="622"/>
      <c r="GK37" s="622"/>
      <c r="GL37" s="622"/>
      <c r="GM37" s="622"/>
      <c r="GN37" s="622"/>
      <c r="GO37" s="622"/>
      <c r="GP37" s="622"/>
      <c r="GQ37" s="622"/>
      <c r="GR37" s="622"/>
      <c r="GS37" s="622"/>
    </row>
    <row r="38" spans="1:201" s="418" customFormat="1" ht="21.75" customHeight="1">
      <c r="A38" s="942" t="s">
        <v>527</v>
      </c>
      <c r="B38" s="630" t="s">
        <v>528</v>
      </c>
      <c r="C38" s="630"/>
      <c r="D38" s="630"/>
      <c r="E38" s="630" t="s">
        <v>150</v>
      </c>
      <c r="F38" s="630"/>
      <c r="G38" s="630">
        <v>63.56</v>
      </c>
      <c r="H38" s="630">
        <f t="shared" si="0"/>
        <v>63.56</v>
      </c>
      <c r="I38" s="642"/>
      <c r="J38" s="642"/>
      <c r="K38" s="640">
        <v>1050</v>
      </c>
      <c r="L38" s="640">
        <v>29</v>
      </c>
      <c r="M38" s="640">
        <f t="shared" si="6"/>
        <v>1050</v>
      </c>
      <c r="N38" s="640">
        <f t="shared" si="6"/>
        <v>29</v>
      </c>
      <c r="O38" s="640">
        <f t="shared" si="2"/>
        <v>87</v>
      </c>
      <c r="P38" s="640">
        <f t="shared" si="3"/>
        <v>87</v>
      </c>
      <c r="Q38" s="647"/>
      <c r="R38" s="642"/>
      <c r="S38" s="642"/>
      <c r="T38" s="642">
        <f t="shared" si="4"/>
        <v>0</v>
      </c>
      <c r="U38" s="642"/>
      <c r="V38" s="642"/>
      <c r="W38" s="642"/>
      <c r="X38" s="642">
        <f t="shared" si="5"/>
        <v>0</v>
      </c>
      <c r="Y38" s="642"/>
      <c r="Z38" s="642"/>
      <c r="AA38" s="642"/>
      <c r="AB38" s="642"/>
      <c r="AC38" s="647">
        <v>121.2</v>
      </c>
      <c r="AD38" s="651">
        <v>0</v>
      </c>
      <c r="AE38" s="652"/>
      <c r="AF38" s="622"/>
      <c r="AG38" s="622"/>
      <c r="AH38" s="622"/>
      <c r="AI38" s="622"/>
      <c r="AJ38" s="622"/>
      <c r="AK38" s="622"/>
      <c r="AL38" s="622"/>
      <c r="AM38" s="622"/>
      <c r="AN38" s="622"/>
      <c r="AO38" s="622"/>
      <c r="AP38" s="622"/>
      <c r="AQ38" s="622"/>
      <c r="AR38" s="622"/>
      <c r="AS38" s="622"/>
      <c r="AT38" s="622"/>
      <c r="AU38" s="622"/>
      <c r="AV38" s="622"/>
      <c r="AW38" s="622"/>
      <c r="AX38" s="622"/>
      <c r="AY38" s="622"/>
      <c r="AZ38" s="622"/>
      <c r="BA38" s="622"/>
      <c r="BB38" s="622"/>
      <c r="BC38" s="622"/>
      <c r="BD38" s="622"/>
      <c r="BE38" s="622"/>
      <c r="BF38" s="622"/>
      <c r="BG38" s="622"/>
      <c r="BH38" s="622"/>
      <c r="BI38" s="622"/>
      <c r="BJ38" s="622"/>
      <c r="BK38" s="622"/>
      <c r="BL38" s="622"/>
      <c r="BM38" s="622"/>
      <c r="BN38" s="622"/>
      <c r="BO38" s="622"/>
      <c r="BP38" s="622"/>
      <c r="BQ38" s="622"/>
      <c r="BR38" s="622"/>
      <c r="BS38" s="622"/>
      <c r="BT38" s="622"/>
      <c r="BU38" s="622"/>
      <c r="BV38" s="622"/>
      <c r="BW38" s="622"/>
      <c r="BX38" s="622"/>
      <c r="BY38" s="622"/>
      <c r="BZ38" s="622"/>
      <c r="CA38" s="622"/>
      <c r="CB38" s="622"/>
      <c r="CC38" s="622"/>
      <c r="CD38" s="622"/>
      <c r="CE38" s="622"/>
      <c r="CF38" s="622"/>
      <c r="CG38" s="622"/>
      <c r="CH38" s="622"/>
      <c r="CI38" s="622"/>
      <c r="CJ38" s="622"/>
      <c r="CK38" s="622"/>
      <c r="CL38" s="622"/>
      <c r="CM38" s="622"/>
      <c r="CN38" s="622"/>
      <c r="CO38" s="622"/>
      <c r="CP38" s="622"/>
      <c r="CQ38" s="622"/>
      <c r="CR38" s="622"/>
      <c r="CS38" s="622"/>
      <c r="CT38" s="622"/>
      <c r="CU38" s="622"/>
      <c r="CV38" s="622"/>
      <c r="CW38" s="622"/>
      <c r="CX38" s="622"/>
      <c r="CY38" s="622"/>
      <c r="CZ38" s="622"/>
      <c r="DA38" s="622"/>
      <c r="DB38" s="622"/>
      <c r="DC38" s="622"/>
      <c r="DD38" s="622"/>
      <c r="DE38" s="622"/>
      <c r="DF38" s="622"/>
      <c r="DG38" s="622"/>
      <c r="DH38" s="622"/>
      <c r="DI38" s="622"/>
      <c r="DJ38" s="622"/>
      <c r="DK38" s="622"/>
      <c r="DL38" s="622"/>
      <c r="DM38" s="622"/>
      <c r="DN38" s="622"/>
      <c r="DO38" s="622"/>
      <c r="DP38" s="622"/>
      <c r="DQ38" s="622"/>
      <c r="DR38" s="622"/>
      <c r="DS38" s="622"/>
      <c r="DT38" s="622"/>
      <c r="DU38" s="622"/>
      <c r="DV38" s="622"/>
      <c r="DW38" s="622"/>
      <c r="DX38" s="622"/>
      <c r="DY38" s="622"/>
      <c r="DZ38" s="622"/>
      <c r="EA38" s="622"/>
      <c r="EB38" s="622"/>
      <c r="EC38" s="622"/>
      <c r="ED38" s="622"/>
      <c r="EE38" s="622"/>
      <c r="EF38" s="622"/>
      <c r="EG38" s="622"/>
      <c r="EH38" s="622"/>
      <c r="EI38" s="622"/>
      <c r="EJ38" s="622"/>
      <c r="EK38" s="622"/>
      <c r="EL38" s="622"/>
      <c r="EM38" s="622"/>
      <c r="EN38" s="622"/>
      <c r="EO38" s="622"/>
      <c r="EP38" s="622"/>
      <c r="EQ38" s="622"/>
      <c r="ER38" s="622"/>
      <c r="ES38" s="622"/>
      <c r="ET38" s="622"/>
      <c r="EU38" s="622"/>
      <c r="EV38" s="622"/>
      <c r="EW38" s="622"/>
      <c r="EX38" s="622"/>
      <c r="EY38" s="622"/>
      <c r="EZ38" s="622"/>
      <c r="FA38" s="622"/>
      <c r="FB38" s="622"/>
      <c r="FC38" s="622"/>
      <c r="FD38" s="622"/>
      <c r="FE38" s="622"/>
      <c r="FF38" s="622"/>
      <c r="FG38" s="622"/>
      <c r="FH38" s="622"/>
      <c r="FI38" s="622"/>
      <c r="FJ38" s="622"/>
      <c r="FK38" s="622"/>
      <c r="FL38" s="622"/>
      <c r="FM38" s="622"/>
      <c r="FN38" s="622"/>
      <c r="FO38" s="622"/>
      <c r="FP38" s="622"/>
      <c r="FQ38" s="622"/>
      <c r="FR38" s="622"/>
      <c r="FS38" s="622"/>
      <c r="FT38" s="622"/>
      <c r="FU38" s="622"/>
      <c r="FV38" s="622"/>
      <c r="FW38" s="622"/>
      <c r="FX38" s="622"/>
      <c r="FY38" s="622"/>
      <c r="FZ38" s="622"/>
      <c r="GA38" s="622"/>
      <c r="GB38" s="622"/>
      <c r="GC38" s="622"/>
      <c r="GD38" s="622"/>
      <c r="GE38" s="622"/>
      <c r="GF38" s="622"/>
      <c r="GG38" s="622"/>
      <c r="GH38" s="622"/>
      <c r="GI38" s="622"/>
      <c r="GJ38" s="622"/>
      <c r="GK38" s="622"/>
      <c r="GL38" s="622"/>
      <c r="GM38" s="622"/>
      <c r="GN38" s="622"/>
      <c r="GO38" s="622"/>
      <c r="GP38" s="622"/>
      <c r="GQ38" s="622"/>
      <c r="GR38" s="622"/>
      <c r="GS38" s="622"/>
    </row>
    <row r="39" spans="1:201" s="418" customFormat="1" ht="21.75" customHeight="1">
      <c r="A39" s="942" t="s">
        <v>529</v>
      </c>
      <c r="B39" s="630" t="s">
        <v>530</v>
      </c>
      <c r="C39" s="630"/>
      <c r="D39" s="630"/>
      <c r="E39" s="630" t="s">
        <v>150</v>
      </c>
      <c r="F39" s="633"/>
      <c r="G39" s="630">
        <v>46.68</v>
      </c>
      <c r="H39" s="630">
        <f t="shared" si="0"/>
        <v>46.68</v>
      </c>
      <c r="I39" s="642"/>
      <c r="J39" s="642"/>
      <c r="K39" s="642">
        <v>5215</v>
      </c>
      <c r="L39" s="642">
        <v>66</v>
      </c>
      <c r="M39" s="640">
        <f t="shared" si="6"/>
        <v>5215</v>
      </c>
      <c r="N39" s="640">
        <f t="shared" si="6"/>
        <v>66</v>
      </c>
      <c r="O39" s="640">
        <f t="shared" si="2"/>
        <v>198</v>
      </c>
      <c r="P39" s="640">
        <f t="shared" si="3"/>
        <v>198</v>
      </c>
      <c r="Q39" s="647"/>
      <c r="R39" s="642"/>
      <c r="S39" s="642"/>
      <c r="T39" s="642">
        <f t="shared" si="4"/>
        <v>0</v>
      </c>
      <c r="U39" s="642"/>
      <c r="V39" s="642"/>
      <c r="W39" s="642"/>
      <c r="X39" s="642">
        <f t="shared" si="5"/>
        <v>0</v>
      </c>
      <c r="Y39" s="642"/>
      <c r="Z39" s="642">
        <v>2</v>
      </c>
      <c r="AA39" s="642"/>
      <c r="AB39" s="642"/>
      <c r="AC39" s="647">
        <v>1936.433</v>
      </c>
      <c r="AD39" s="651">
        <v>0</v>
      </c>
      <c r="AE39" s="65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2"/>
      <c r="AR39" s="622"/>
      <c r="AS39" s="622"/>
      <c r="AT39" s="622"/>
      <c r="AU39" s="622"/>
      <c r="AV39" s="622"/>
      <c r="AW39" s="622"/>
      <c r="AX39" s="622"/>
      <c r="AY39" s="622"/>
      <c r="AZ39" s="622"/>
      <c r="BA39" s="622"/>
      <c r="BB39" s="622"/>
      <c r="BC39" s="622"/>
      <c r="BD39" s="622"/>
      <c r="BE39" s="622"/>
      <c r="BF39" s="622"/>
      <c r="BG39" s="622"/>
      <c r="BH39" s="622"/>
      <c r="BI39" s="622"/>
      <c r="BJ39" s="622"/>
      <c r="BK39" s="622"/>
      <c r="BL39" s="622"/>
      <c r="BM39" s="622"/>
      <c r="BN39" s="622"/>
      <c r="BO39" s="622"/>
      <c r="BP39" s="622"/>
      <c r="BQ39" s="622"/>
      <c r="BR39" s="622"/>
      <c r="BS39" s="622"/>
      <c r="BT39" s="622"/>
      <c r="BU39" s="622"/>
      <c r="BV39" s="622"/>
      <c r="BW39" s="622"/>
      <c r="BX39" s="622"/>
      <c r="BY39" s="622"/>
      <c r="BZ39" s="622"/>
      <c r="CA39" s="622"/>
      <c r="CB39" s="622"/>
      <c r="CC39" s="622"/>
      <c r="CD39" s="622"/>
      <c r="CE39" s="622"/>
      <c r="CF39" s="622"/>
      <c r="CG39" s="622"/>
      <c r="CH39" s="622"/>
      <c r="CI39" s="622"/>
      <c r="CJ39" s="622"/>
      <c r="CK39" s="622"/>
      <c r="CL39" s="622"/>
      <c r="CM39" s="622"/>
      <c r="CN39" s="622"/>
      <c r="CO39" s="622"/>
      <c r="CP39" s="622"/>
      <c r="CQ39" s="622"/>
      <c r="CR39" s="622"/>
      <c r="CS39" s="622"/>
      <c r="CT39" s="622"/>
      <c r="CU39" s="622"/>
      <c r="CV39" s="622"/>
      <c r="CW39" s="622"/>
      <c r="CX39" s="622"/>
      <c r="CY39" s="622"/>
      <c r="CZ39" s="622"/>
      <c r="DA39" s="622"/>
      <c r="DB39" s="622"/>
      <c r="DC39" s="622"/>
      <c r="DD39" s="622"/>
      <c r="DE39" s="622"/>
      <c r="DF39" s="622"/>
      <c r="DG39" s="622"/>
      <c r="DH39" s="622"/>
      <c r="DI39" s="622"/>
      <c r="DJ39" s="622"/>
      <c r="DK39" s="622"/>
      <c r="DL39" s="622"/>
      <c r="DM39" s="622"/>
      <c r="DN39" s="622"/>
      <c r="DO39" s="622"/>
      <c r="DP39" s="622"/>
      <c r="DQ39" s="622"/>
      <c r="DR39" s="622"/>
      <c r="DS39" s="622"/>
      <c r="DT39" s="622"/>
      <c r="DU39" s="622"/>
      <c r="DV39" s="622"/>
      <c r="DW39" s="622"/>
      <c r="DX39" s="622"/>
      <c r="DY39" s="622"/>
      <c r="DZ39" s="622"/>
      <c r="EA39" s="622"/>
      <c r="EB39" s="622"/>
      <c r="EC39" s="622"/>
      <c r="ED39" s="622"/>
      <c r="EE39" s="622"/>
      <c r="EF39" s="622"/>
      <c r="EG39" s="622"/>
      <c r="EH39" s="622"/>
      <c r="EI39" s="622"/>
      <c r="EJ39" s="622"/>
      <c r="EK39" s="622"/>
      <c r="EL39" s="622"/>
      <c r="EM39" s="622"/>
      <c r="EN39" s="622"/>
      <c r="EO39" s="622"/>
      <c r="EP39" s="622"/>
      <c r="EQ39" s="622"/>
      <c r="ER39" s="622"/>
      <c r="ES39" s="622"/>
      <c r="ET39" s="622"/>
      <c r="EU39" s="622"/>
      <c r="EV39" s="622"/>
      <c r="EW39" s="622"/>
      <c r="EX39" s="622"/>
      <c r="EY39" s="622"/>
      <c r="EZ39" s="622"/>
      <c r="FA39" s="622"/>
      <c r="FB39" s="622"/>
      <c r="FC39" s="622"/>
      <c r="FD39" s="622"/>
      <c r="FE39" s="622"/>
      <c r="FF39" s="622"/>
      <c r="FG39" s="622"/>
      <c r="FH39" s="622"/>
      <c r="FI39" s="622"/>
      <c r="FJ39" s="622"/>
      <c r="FK39" s="622"/>
      <c r="FL39" s="622"/>
      <c r="FM39" s="622"/>
      <c r="FN39" s="622"/>
      <c r="FO39" s="622"/>
      <c r="FP39" s="622"/>
      <c r="FQ39" s="622"/>
      <c r="FR39" s="622"/>
      <c r="FS39" s="622"/>
      <c r="FT39" s="622"/>
      <c r="FU39" s="622"/>
      <c r="FV39" s="622"/>
      <c r="FW39" s="622"/>
      <c r="FX39" s="622"/>
      <c r="FY39" s="622"/>
      <c r="FZ39" s="622"/>
      <c r="GA39" s="622"/>
      <c r="GB39" s="622"/>
      <c r="GC39" s="622"/>
      <c r="GD39" s="622"/>
      <c r="GE39" s="622"/>
      <c r="GF39" s="622"/>
      <c r="GG39" s="622"/>
      <c r="GH39" s="622"/>
      <c r="GI39" s="622"/>
      <c r="GJ39" s="622"/>
      <c r="GK39" s="622"/>
      <c r="GL39" s="622"/>
      <c r="GM39" s="622"/>
      <c r="GN39" s="622"/>
      <c r="GO39" s="622"/>
      <c r="GP39" s="622"/>
      <c r="GQ39" s="622"/>
      <c r="GR39" s="622"/>
      <c r="GS39" s="622"/>
    </row>
    <row r="40" spans="1:201" s="418" customFormat="1" ht="21.75" customHeight="1">
      <c r="A40" s="942" t="s">
        <v>531</v>
      </c>
      <c r="B40" s="630" t="s">
        <v>532</v>
      </c>
      <c r="C40" s="630"/>
      <c r="D40" s="630" t="s">
        <v>150</v>
      </c>
      <c r="E40" s="630"/>
      <c r="F40" s="630">
        <v>47.52</v>
      </c>
      <c r="G40" s="630"/>
      <c r="H40" s="630">
        <f t="shared" si="0"/>
        <v>47.52</v>
      </c>
      <c r="I40" s="642">
        <v>840</v>
      </c>
      <c r="J40" s="642">
        <v>28</v>
      </c>
      <c r="K40" s="642">
        <v>180</v>
      </c>
      <c r="L40" s="642">
        <v>4</v>
      </c>
      <c r="M40" s="640">
        <f t="shared" si="6"/>
        <v>1020</v>
      </c>
      <c r="N40" s="640">
        <f t="shared" si="6"/>
        <v>32</v>
      </c>
      <c r="O40" s="640">
        <f t="shared" si="2"/>
        <v>96</v>
      </c>
      <c r="P40" s="640">
        <f t="shared" si="3"/>
        <v>96</v>
      </c>
      <c r="Q40" s="647"/>
      <c r="R40" s="642">
        <v>3</v>
      </c>
      <c r="S40" s="642"/>
      <c r="T40" s="642">
        <f t="shared" si="4"/>
        <v>3</v>
      </c>
      <c r="U40" s="642"/>
      <c r="V40" s="642"/>
      <c r="W40" s="642"/>
      <c r="X40" s="642">
        <f t="shared" si="5"/>
        <v>28</v>
      </c>
      <c r="Y40" s="642"/>
      <c r="Z40" s="642"/>
      <c r="AA40" s="642"/>
      <c r="AB40" s="642"/>
      <c r="AC40" s="647">
        <v>336.097</v>
      </c>
      <c r="AD40" s="651">
        <v>18.37</v>
      </c>
      <c r="AE40" s="65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2"/>
      <c r="AR40" s="622"/>
      <c r="AS40" s="622"/>
      <c r="AT40" s="622"/>
      <c r="AU40" s="622"/>
      <c r="AV40" s="622"/>
      <c r="AW40" s="622"/>
      <c r="AX40" s="622"/>
      <c r="AY40" s="622"/>
      <c r="AZ40" s="622"/>
      <c r="BA40" s="622"/>
      <c r="BB40" s="622"/>
      <c r="BC40" s="622"/>
      <c r="BD40" s="622"/>
      <c r="BE40" s="622"/>
      <c r="BF40" s="622"/>
      <c r="BG40" s="622"/>
      <c r="BH40" s="622"/>
      <c r="BI40" s="622"/>
      <c r="BJ40" s="622"/>
      <c r="BK40" s="622"/>
      <c r="BL40" s="622"/>
      <c r="BM40" s="622"/>
      <c r="BN40" s="622"/>
      <c r="BO40" s="622"/>
      <c r="BP40" s="622"/>
      <c r="BQ40" s="622"/>
      <c r="BR40" s="622"/>
      <c r="BS40" s="622"/>
      <c r="BT40" s="622"/>
      <c r="BU40" s="622"/>
      <c r="BV40" s="622"/>
      <c r="BW40" s="622"/>
      <c r="BX40" s="622"/>
      <c r="BY40" s="622"/>
      <c r="BZ40" s="622"/>
      <c r="CA40" s="622"/>
      <c r="CB40" s="622"/>
      <c r="CC40" s="622"/>
      <c r="CD40" s="622"/>
      <c r="CE40" s="622"/>
      <c r="CF40" s="622"/>
      <c r="CG40" s="622"/>
      <c r="CH40" s="622"/>
      <c r="CI40" s="622"/>
      <c r="CJ40" s="622"/>
      <c r="CK40" s="622"/>
      <c r="CL40" s="622"/>
      <c r="CM40" s="622"/>
      <c r="CN40" s="622"/>
      <c r="CO40" s="622"/>
      <c r="CP40" s="622"/>
      <c r="CQ40" s="622"/>
      <c r="CR40" s="622"/>
      <c r="CS40" s="622"/>
      <c r="CT40" s="622"/>
      <c r="CU40" s="622"/>
      <c r="CV40" s="622"/>
      <c r="CW40" s="622"/>
      <c r="CX40" s="622"/>
      <c r="CY40" s="622"/>
      <c r="CZ40" s="622"/>
      <c r="DA40" s="622"/>
      <c r="DB40" s="622"/>
      <c r="DC40" s="622"/>
      <c r="DD40" s="622"/>
      <c r="DE40" s="622"/>
      <c r="DF40" s="622"/>
      <c r="DG40" s="622"/>
      <c r="DH40" s="622"/>
      <c r="DI40" s="622"/>
      <c r="DJ40" s="622"/>
      <c r="DK40" s="622"/>
      <c r="DL40" s="622"/>
      <c r="DM40" s="622"/>
      <c r="DN40" s="622"/>
      <c r="DO40" s="622"/>
      <c r="DP40" s="622"/>
      <c r="DQ40" s="622"/>
      <c r="DR40" s="622"/>
      <c r="DS40" s="622"/>
      <c r="DT40" s="622"/>
      <c r="DU40" s="622"/>
      <c r="DV40" s="622"/>
      <c r="DW40" s="622"/>
      <c r="DX40" s="622"/>
      <c r="DY40" s="622"/>
      <c r="DZ40" s="622"/>
      <c r="EA40" s="622"/>
      <c r="EB40" s="622"/>
      <c r="EC40" s="622"/>
      <c r="ED40" s="622"/>
      <c r="EE40" s="622"/>
      <c r="EF40" s="622"/>
      <c r="EG40" s="622"/>
      <c r="EH40" s="622"/>
      <c r="EI40" s="622"/>
      <c r="EJ40" s="622"/>
      <c r="EK40" s="622"/>
      <c r="EL40" s="622"/>
      <c r="EM40" s="622"/>
      <c r="EN40" s="622"/>
      <c r="EO40" s="622"/>
      <c r="EP40" s="622"/>
      <c r="EQ40" s="622"/>
      <c r="ER40" s="622"/>
      <c r="ES40" s="622"/>
      <c r="ET40" s="622"/>
      <c r="EU40" s="622"/>
      <c r="EV40" s="622"/>
      <c r="EW40" s="622"/>
      <c r="EX40" s="622"/>
      <c r="EY40" s="622"/>
      <c r="EZ40" s="622"/>
      <c r="FA40" s="622"/>
      <c r="FB40" s="622"/>
      <c r="FC40" s="622"/>
      <c r="FD40" s="622"/>
      <c r="FE40" s="622"/>
      <c r="FF40" s="622"/>
      <c r="FG40" s="622"/>
      <c r="FH40" s="622"/>
      <c r="FI40" s="622"/>
      <c r="FJ40" s="622"/>
      <c r="FK40" s="622"/>
      <c r="FL40" s="622"/>
      <c r="FM40" s="622"/>
      <c r="FN40" s="622"/>
      <c r="FO40" s="622"/>
      <c r="FP40" s="622"/>
      <c r="FQ40" s="622"/>
      <c r="FR40" s="622"/>
      <c r="FS40" s="622"/>
      <c r="FT40" s="622"/>
      <c r="FU40" s="622"/>
      <c r="FV40" s="622"/>
      <c r="FW40" s="622"/>
      <c r="FX40" s="622"/>
      <c r="FY40" s="622"/>
      <c r="FZ40" s="622"/>
      <c r="GA40" s="622"/>
      <c r="GB40" s="622"/>
      <c r="GC40" s="622"/>
      <c r="GD40" s="622"/>
      <c r="GE40" s="622"/>
      <c r="GF40" s="622"/>
      <c r="GG40" s="622"/>
      <c r="GH40" s="622"/>
      <c r="GI40" s="622"/>
      <c r="GJ40" s="622"/>
      <c r="GK40" s="622"/>
      <c r="GL40" s="622"/>
      <c r="GM40" s="622"/>
      <c r="GN40" s="622"/>
      <c r="GO40" s="622"/>
      <c r="GP40" s="622"/>
      <c r="GQ40" s="622"/>
      <c r="GR40" s="622"/>
      <c r="GS40" s="622"/>
    </row>
    <row r="41" spans="1:201" s="418" customFormat="1" ht="21.75" customHeight="1">
      <c r="A41" s="942" t="s">
        <v>533</v>
      </c>
      <c r="B41" s="630" t="s">
        <v>534</v>
      </c>
      <c r="C41" s="630"/>
      <c r="D41" s="630"/>
      <c r="E41" s="630" t="s">
        <v>150</v>
      </c>
      <c r="F41" s="630"/>
      <c r="G41" s="630">
        <v>58.96</v>
      </c>
      <c r="H41" s="630">
        <f t="shared" si="0"/>
        <v>58.96</v>
      </c>
      <c r="I41" s="642"/>
      <c r="J41" s="642"/>
      <c r="K41" s="640">
        <v>8850</v>
      </c>
      <c r="L41" s="640">
        <v>124</v>
      </c>
      <c r="M41" s="640">
        <f t="shared" si="6"/>
        <v>8850</v>
      </c>
      <c r="N41" s="640">
        <f t="shared" si="6"/>
        <v>124</v>
      </c>
      <c r="O41" s="640">
        <f t="shared" si="2"/>
        <v>372</v>
      </c>
      <c r="P41" s="640">
        <f t="shared" si="3"/>
        <v>372</v>
      </c>
      <c r="Q41" s="647"/>
      <c r="R41" s="642"/>
      <c r="S41" s="642"/>
      <c r="T41" s="642">
        <f t="shared" si="4"/>
        <v>0</v>
      </c>
      <c r="U41" s="642"/>
      <c r="V41" s="642"/>
      <c r="W41" s="642"/>
      <c r="X41" s="642">
        <f t="shared" si="5"/>
        <v>0</v>
      </c>
      <c r="Y41" s="642"/>
      <c r="Z41" s="642"/>
      <c r="AA41" s="642"/>
      <c r="AB41" s="642"/>
      <c r="AC41" s="647">
        <v>1209.9912</v>
      </c>
      <c r="AD41" s="651">
        <v>0</v>
      </c>
      <c r="AE41" s="65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2"/>
      <c r="AS41" s="622"/>
      <c r="AT41" s="622"/>
      <c r="AU41" s="622"/>
      <c r="AV41" s="622"/>
      <c r="AW41" s="622"/>
      <c r="AX41" s="622"/>
      <c r="AY41" s="622"/>
      <c r="AZ41" s="622"/>
      <c r="BA41" s="622"/>
      <c r="BB41" s="622"/>
      <c r="BC41" s="622"/>
      <c r="BD41" s="622"/>
      <c r="BE41" s="622"/>
      <c r="BF41" s="622"/>
      <c r="BG41" s="622"/>
      <c r="BH41" s="622"/>
      <c r="BI41" s="622"/>
      <c r="BJ41" s="622"/>
      <c r="BK41" s="622"/>
      <c r="BL41" s="622"/>
      <c r="BM41" s="622"/>
      <c r="BN41" s="622"/>
      <c r="BO41" s="622"/>
      <c r="BP41" s="622"/>
      <c r="BQ41" s="622"/>
      <c r="BR41" s="622"/>
      <c r="BS41" s="622"/>
      <c r="BT41" s="622"/>
      <c r="BU41" s="622"/>
      <c r="BV41" s="622"/>
      <c r="BW41" s="622"/>
      <c r="BX41" s="622"/>
      <c r="BY41" s="622"/>
      <c r="BZ41" s="622"/>
      <c r="CA41" s="622"/>
      <c r="CB41" s="622"/>
      <c r="CC41" s="622"/>
      <c r="CD41" s="622"/>
      <c r="CE41" s="622"/>
      <c r="CF41" s="622"/>
      <c r="CG41" s="622"/>
      <c r="CH41" s="622"/>
      <c r="CI41" s="622"/>
      <c r="CJ41" s="622"/>
      <c r="CK41" s="622"/>
      <c r="CL41" s="622"/>
      <c r="CM41" s="622"/>
      <c r="CN41" s="622"/>
      <c r="CO41" s="622"/>
      <c r="CP41" s="622"/>
      <c r="CQ41" s="622"/>
      <c r="CR41" s="622"/>
      <c r="CS41" s="622"/>
      <c r="CT41" s="622"/>
      <c r="CU41" s="622"/>
      <c r="CV41" s="622"/>
      <c r="CW41" s="622"/>
      <c r="CX41" s="622"/>
      <c r="CY41" s="622"/>
      <c r="CZ41" s="622"/>
      <c r="DA41" s="622"/>
      <c r="DB41" s="622"/>
      <c r="DC41" s="622"/>
      <c r="DD41" s="622"/>
      <c r="DE41" s="622"/>
      <c r="DF41" s="622"/>
      <c r="DG41" s="622"/>
      <c r="DH41" s="622"/>
      <c r="DI41" s="622"/>
      <c r="DJ41" s="622"/>
      <c r="DK41" s="622"/>
      <c r="DL41" s="622"/>
      <c r="DM41" s="622"/>
      <c r="DN41" s="622"/>
      <c r="DO41" s="622"/>
      <c r="DP41" s="622"/>
      <c r="DQ41" s="622"/>
      <c r="DR41" s="622"/>
      <c r="DS41" s="622"/>
      <c r="DT41" s="622"/>
      <c r="DU41" s="622"/>
      <c r="DV41" s="622"/>
      <c r="DW41" s="622"/>
      <c r="DX41" s="622"/>
      <c r="DY41" s="622"/>
      <c r="DZ41" s="622"/>
      <c r="EA41" s="622"/>
      <c r="EB41" s="622"/>
      <c r="EC41" s="622"/>
      <c r="ED41" s="622"/>
      <c r="EE41" s="622"/>
      <c r="EF41" s="622"/>
      <c r="EG41" s="622"/>
      <c r="EH41" s="622"/>
      <c r="EI41" s="622"/>
      <c r="EJ41" s="622"/>
      <c r="EK41" s="622"/>
      <c r="EL41" s="622"/>
      <c r="EM41" s="622"/>
      <c r="EN41" s="622"/>
      <c r="EO41" s="622"/>
      <c r="EP41" s="622"/>
      <c r="EQ41" s="622"/>
      <c r="ER41" s="622"/>
      <c r="ES41" s="622"/>
      <c r="ET41" s="622"/>
      <c r="EU41" s="622"/>
      <c r="EV41" s="622"/>
      <c r="EW41" s="622"/>
      <c r="EX41" s="622"/>
      <c r="EY41" s="622"/>
      <c r="EZ41" s="622"/>
      <c r="FA41" s="622"/>
      <c r="FB41" s="622"/>
      <c r="FC41" s="622"/>
      <c r="FD41" s="622"/>
      <c r="FE41" s="622"/>
      <c r="FF41" s="622"/>
      <c r="FG41" s="622"/>
      <c r="FH41" s="622"/>
      <c r="FI41" s="622"/>
      <c r="FJ41" s="622"/>
      <c r="FK41" s="622"/>
      <c r="FL41" s="622"/>
      <c r="FM41" s="622"/>
      <c r="FN41" s="622"/>
      <c r="FO41" s="622"/>
      <c r="FP41" s="622"/>
      <c r="FQ41" s="622"/>
      <c r="FR41" s="622"/>
      <c r="FS41" s="622"/>
      <c r="FT41" s="622"/>
      <c r="FU41" s="622"/>
      <c r="FV41" s="622"/>
      <c r="FW41" s="622"/>
      <c r="FX41" s="622"/>
      <c r="FY41" s="622"/>
      <c r="FZ41" s="622"/>
      <c r="GA41" s="622"/>
      <c r="GB41" s="622"/>
      <c r="GC41" s="622"/>
      <c r="GD41" s="622"/>
      <c r="GE41" s="622"/>
      <c r="GF41" s="622"/>
      <c r="GG41" s="622"/>
      <c r="GH41" s="622"/>
      <c r="GI41" s="622"/>
      <c r="GJ41" s="622"/>
      <c r="GK41" s="622"/>
      <c r="GL41" s="622"/>
      <c r="GM41" s="622"/>
      <c r="GN41" s="622"/>
      <c r="GO41" s="622"/>
      <c r="GP41" s="622"/>
      <c r="GQ41" s="622"/>
      <c r="GR41" s="622"/>
      <c r="GS41" s="622"/>
    </row>
    <row r="42" spans="1:201" s="418" customFormat="1" ht="21.75" customHeight="1">
      <c r="A42" s="942" t="s">
        <v>535</v>
      </c>
      <c r="B42" s="630" t="s">
        <v>536</v>
      </c>
      <c r="C42" s="630"/>
      <c r="D42" s="630"/>
      <c r="E42" s="630" t="s">
        <v>150</v>
      </c>
      <c r="F42" s="630"/>
      <c r="G42" s="630">
        <v>24.21</v>
      </c>
      <c r="H42" s="630">
        <f t="shared" si="0"/>
        <v>24.21</v>
      </c>
      <c r="I42" s="642"/>
      <c r="J42" s="642"/>
      <c r="K42" s="640">
        <v>3985</v>
      </c>
      <c r="L42" s="640">
        <v>55</v>
      </c>
      <c r="M42" s="640">
        <f t="shared" si="6"/>
        <v>3985</v>
      </c>
      <c r="N42" s="640">
        <f t="shared" si="6"/>
        <v>55</v>
      </c>
      <c r="O42" s="640">
        <f t="shared" si="2"/>
        <v>165</v>
      </c>
      <c r="P42" s="640">
        <f t="shared" si="3"/>
        <v>165</v>
      </c>
      <c r="Q42" s="647"/>
      <c r="R42" s="642"/>
      <c r="S42" s="642"/>
      <c r="T42" s="642">
        <f t="shared" si="4"/>
        <v>0</v>
      </c>
      <c r="U42" s="642"/>
      <c r="V42" s="642"/>
      <c r="W42" s="642"/>
      <c r="X42" s="642">
        <f t="shared" si="5"/>
        <v>0</v>
      </c>
      <c r="Y42" s="642"/>
      <c r="Z42" s="642"/>
      <c r="AA42" s="642"/>
      <c r="AB42" s="642"/>
      <c r="AC42" s="647">
        <v>1561.5738</v>
      </c>
      <c r="AD42" s="651">
        <v>0</v>
      </c>
      <c r="AE42" s="652"/>
      <c r="AF42" s="622"/>
      <c r="AG42" s="622"/>
      <c r="AH42" s="622"/>
      <c r="AI42" s="622"/>
      <c r="AJ42" s="622"/>
      <c r="AK42" s="622"/>
      <c r="AL42" s="622"/>
      <c r="AM42" s="622"/>
      <c r="AN42" s="622"/>
      <c r="AO42" s="622"/>
      <c r="AP42" s="622"/>
      <c r="AQ42" s="622"/>
      <c r="AR42" s="622"/>
      <c r="AS42" s="622"/>
      <c r="AT42" s="622"/>
      <c r="AU42" s="622"/>
      <c r="AV42" s="622"/>
      <c r="AW42" s="622"/>
      <c r="AX42" s="622"/>
      <c r="AY42" s="622"/>
      <c r="AZ42" s="622"/>
      <c r="BA42" s="622"/>
      <c r="BB42" s="622"/>
      <c r="BC42" s="622"/>
      <c r="BD42" s="622"/>
      <c r="BE42" s="622"/>
      <c r="BF42" s="622"/>
      <c r="BG42" s="622"/>
      <c r="BH42" s="622"/>
      <c r="BI42" s="622"/>
      <c r="BJ42" s="622"/>
      <c r="BK42" s="622"/>
      <c r="BL42" s="622"/>
      <c r="BM42" s="622"/>
      <c r="BN42" s="622"/>
      <c r="BO42" s="622"/>
      <c r="BP42" s="622"/>
      <c r="BQ42" s="622"/>
      <c r="BR42" s="622"/>
      <c r="BS42" s="622"/>
      <c r="BT42" s="622"/>
      <c r="BU42" s="622"/>
      <c r="BV42" s="622"/>
      <c r="BW42" s="622"/>
      <c r="BX42" s="622"/>
      <c r="BY42" s="622"/>
      <c r="BZ42" s="622"/>
      <c r="CA42" s="622"/>
      <c r="CB42" s="622"/>
      <c r="CC42" s="622"/>
      <c r="CD42" s="622"/>
      <c r="CE42" s="622"/>
      <c r="CF42" s="622"/>
      <c r="CG42" s="622"/>
      <c r="CH42" s="622"/>
      <c r="CI42" s="622"/>
      <c r="CJ42" s="622"/>
      <c r="CK42" s="622"/>
      <c r="CL42" s="622"/>
      <c r="CM42" s="622"/>
      <c r="CN42" s="622"/>
      <c r="CO42" s="622"/>
      <c r="CP42" s="622"/>
      <c r="CQ42" s="622"/>
      <c r="CR42" s="622"/>
      <c r="CS42" s="622"/>
      <c r="CT42" s="622"/>
      <c r="CU42" s="622"/>
      <c r="CV42" s="622"/>
      <c r="CW42" s="622"/>
      <c r="CX42" s="622"/>
      <c r="CY42" s="622"/>
      <c r="CZ42" s="622"/>
      <c r="DA42" s="622"/>
      <c r="DB42" s="622"/>
      <c r="DC42" s="622"/>
      <c r="DD42" s="622"/>
      <c r="DE42" s="622"/>
      <c r="DF42" s="622"/>
      <c r="DG42" s="622"/>
      <c r="DH42" s="622"/>
      <c r="DI42" s="622"/>
      <c r="DJ42" s="622"/>
      <c r="DK42" s="622"/>
      <c r="DL42" s="622"/>
      <c r="DM42" s="622"/>
      <c r="DN42" s="622"/>
      <c r="DO42" s="622"/>
      <c r="DP42" s="622"/>
      <c r="DQ42" s="622"/>
      <c r="DR42" s="622"/>
      <c r="DS42" s="622"/>
      <c r="DT42" s="622"/>
      <c r="DU42" s="622"/>
      <c r="DV42" s="622"/>
      <c r="DW42" s="622"/>
      <c r="DX42" s="622"/>
      <c r="DY42" s="622"/>
      <c r="DZ42" s="622"/>
      <c r="EA42" s="622"/>
      <c r="EB42" s="622"/>
      <c r="EC42" s="622"/>
      <c r="ED42" s="622"/>
      <c r="EE42" s="622"/>
      <c r="EF42" s="622"/>
      <c r="EG42" s="622"/>
      <c r="EH42" s="622"/>
      <c r="EI42" s="622"/>
      <c r="EJ42" s="622"/>
      <c r="EK42" s="622"/>
      <c r="EL42" s="622"/>
      <c r="EM42" s="622"/>
      <c r="EN42" s="622"/>
      <c r="EO42" s="622"/>
      <c r="EP42" s="622"/>
      <c r="EQ42" s="622"/>
      <c r="ER42" s="622"/>
      <c r="ES42" s="622"/>
      <c r="ET42" s="622"/>
      <c r="EU42" s="622"/>
      <c r="EV42" s="622"/>
      <c r="EW42" s="622"/>
      <c r="EX42" s="622"/>
      <c r="EY42" s="622"/>
      <c r="EZ42" s="622"/>
      <c r="FA42" s="622"/>
      <c r="FB42" s="622"/>
      <c r="FC42" s="622"/>
      <c r="FD42" s="622"/>
      <c r="FE42" s="622"/>
      <c r="FF42" s="622"/>
      <c r="FG42" s="622"/>
      <c r="FH42" s="622"/>
      <c r="FI42" s="622"/>
      <c r="FJ42" s="622"/>
      <c r="FK42" s="622"/>
      <c r="FL42" s="622"/>
      <c r="FM42" s="622"/>
      <c r="FN42" s="622"/>
      <c r="FO42" s="622"/>
      <c r="FP42" s="622"/>
      <c r="FQ42" s="622"/>
      <c r="FR42" s="622"/>
      <c r="FS42" s="622"/>
      <c r="FT42" s="622"/>
      <c r="FU42" s="622"/>
      <c r="FV42" s="622"/>
      <c r="FW42" s="622"/>
      <c r="FX42" s="622"/>
      <c r="FY42" s="622"/>
      <c r="FZ42" s="622"/>
      <c r="GA42" s="622"/>
      <c r="GB42" s="622"/>
      <c r="GC42" s="622"/>
      <c r="GD42" s="622"/>
      <c r="GE42" s="622"/>
      <c r="GF42" s="622"/>
      <c r="GG42" s="622"/>
      <c r="GH42" s="622"/>
      <c r="GI42" s="622"/>
      <c r="GJ42" s="622"/>
      <c r="GK42" s="622"/>
      <c r="GL42" s="622"/>
      <c r="GM42" s="622"/>
      <c r="GN42" s="622"/>
      <c r="GO42" s="622"/>
      <c r="GP42" s="622"/>
      <c r="GQ42" s="622"/>
      <c r="GR42" s="622"/>
      <c r="GS42" s="622"/>
    </row>
    <row r="43" spans="1:201" s="418" customFormat="1" ht="21.75" customHeight="1">
      <c r="A43" s="942" t="s">
        <v>537</v>
      </c>
      <c r="B43" s="630" t="s">
        <v>538</v>
      </c>
      <c r="C43" s="630"/>
      <c r="D43" s="630" t="s">
        <v>150</v>
      </c>
      <c r="E43" s="630"/>
      <c r="F43" s="630">
        <v>124.2</v>
      </c>
      <c r="G43" s="630"/>
      <c r="H43" s="630">
        <f t="shared" si="0"/>
        <v>124.2</v>
      </c>
      <c r="I43" s="642">
        <v>1680</v>
      </c>
      <c r="J43" s="642">
        <v>52</v>
      </c>
      <c r="K43" s="642">
        <v>250</v>
      </c>
      <c r="L43" s="642">
        <v>8</v>
      </c>
      <c r="M43" s="640">
        <f t="shared" si="6"/>
        <v>1930</v>
      </c>
      <c r="N43" s="640">
        <f t="shared" si="6"/>
        <v>60</v>
      </c>
      <c r="O43" s="640">
        <f t="shared" si="2"/>
        <v>180</v>
      </c>
      <c r="P43" s="640">
        <f t="shared" si="3"/>
        <v>180</v>
      </c>
      <c r="Q43" s="647"/>
      <c r="R43" s="642"/>
      <c r="S43" s="642"/>
      <c r="T43" s="642">
        <f t="shared" si="4"/>
        <v>0</v>
      </c>
      <c r="U43" s="642"/>
      <c r="V43" s="642"/>
      <c r="W43" s="642"/>
      <c r="X43" s="642">
        <f t="shared" si="5"/>
        <v>52</v>
      </c>
      <c r="Y43" s="642"/>
      <c r="Z43" s="642"/>
      <c r="AA43" s="642"/>
      <c r="AB43" s="642"/>
      <c r="AC43" s="647">
        <v>416.3788</v>
      </c>
      <c r="AD43" s="651">
        <v>19.81</v>
      </c>
      <c r="AE43" s="652"/>
      <c r="AF43" s="622"/>
      <c r="AG43" s="622"/>
      <c r="AH43" s="622"/>
      <c r="AI43" s="622"/>
      <c r="AJ43" s="622"/>
      <c r="AK43" s="622"/>
      <c r="AL43" s="622"/>
      <c r="AM43" s="622"/>
      <c r="AN43" s="622"/>
      <c r="AO43" s="622"/>
      <c r="AP43" s="622"/>
      <c r="AQ43" s="622"/>
      <c r="AR43" s="622"/>
      <c r="AS43" s="622"/>
      <c r="AT43" s="622"/>
      <c r="AU43" s="622"/>
      <c r="AV43" s="622"/>
      <c r="AW43" s="622"/>
      <c r="AX43" s="622"/>
      <c r="AY43" s="622"/>
      <c r="AZ43" s="622"/>
      <c r="BA43" s="622"/>
      <c r="BB43" s="622"/>
      <c r="BC43" s="622"/>
      <c r="BD43" s="622"/>
      <c r="BE43" s="622"/>
      <c r="BF43" s="622"/>
      <c r="BG43" s="622"/>
      <c r="BH43" s="622"/>
      <c r="BI43" s="622"/>
      <c r="BJ43" s="622"/>
      <c r="BK43" s="622"/>
      <c r="BL43" s="622"/>
      <c r="BM43" s="622"/>
      <c r="BN43" s="622"/>
      <c r="BO43" s="622"/>
      <c r="BP43" s="622"/>
      <c r="BQ43" s="622"/>
      <c r="BR43" s="622"/>
      <c r="BS43" s="622"/>
      <c r="BT43" s="622"/>
      <c r="BU43" s="622"/>
      <c r="BV43" s="622"/>
      <c r="BW43" s="622"/>
      <c r="BX43" s="622"/>
      <c r="BY43" s="622"/>
      <c r="BZ43" s="622"/>
      <c r="CA43" s="622"/>
      <c r="CB43" s="622"/>
      <c r="CC43" s="622"/>
      <c r="CD43" s="622"/>
      <c r="CE43" s="622"/>
      <c r="CF43" s="622"/>
      <c r="CG43" s="622"/>
      <c r="CH43" s="622"/>
      <c r="CI43" s="622"/>
      <c r="CJ43" s="622"/>
      <c r="CK43" s="622"/>
      <c r="CL43" s="622"/>
      <c r="CM43" s="622"/>
      <c r="CN43" s="622"/>
      <c r="CO43" s="622"/>
      <c r="CP43" s="622"/>
      <c r="CQ43" s="622"/>
      <c r="CR43" s="622"/>
      <c r="CS43" s="622"/>
      <c r="CT43" s="622"/>
      <c r="CU43" s="622"/>
      <c r="CV43" s="622"/>
      <c r="CW43" s="622"/>
      <c r="CX43" s="622"/>
      <c r="CY43" s="622"/>
      <c r="CZ43" s="622"/>
      <c r="DA43" s="622"/>
      <c r="DB43" s="622"/>
      <c r="DC43" s="622"/>
      <c r="DD43" s="622"/>
      <c r="DE43" s="622"/>
      <c r="DF43" s="622"/>
      <c r="DG43" s="622"/>
      <c r="DH43" s="622"/>
      <c r="DI43" s="622"/>
      <c r="DJ43" s="622"/>
      <c r="DK43" s="622"/>
      <c r="DL43" s="622"/>
      <c r="DM43" s="622"/>
      <c r="DN43" s="622"/>
      <c r="DO43" s="622"/>
      <c r="DP43" s="622"/>
      <c r="DQ43" s="622"/>
      <c r="DR43" s="622"/>
      <c r="DS43" s="622"/>
      <c r="DT43" s="622"/>
      <c r="DU43" s="622"/>
      <c r="DV43" s="622"/>
      <c r="DW43" s="622"/>
      <c r="DX43" s="622"/>
      <c r="DY43" s="622"/>
      <c r="DZ43" s="622"/>
      <c r="EA43" s="622"/>
      <c r="EB43" s="622"/>
      <c r="EC43" s="622"/>
      <c r="ED43" s="622"/>
      <c r="EE43" s="622"/>
      <c r="EF43" s="622"/>
      <c r="EG43" s="622"/>
      <c r="EH43" s="622"/>
      <c r="EI43" s="622"/>
      <c r="EJ43" s="622"/>
      <c r="EK43" s="622"/>
      <c r="EL43" s="622"/>
      <c r="EM43" s="622"/>
      <c r="EN43" s="622"/>
      <c r="EO43" s="622"/>
      <c r="EP43" s="622"/>
      <c r="EQ43" s="622"/>
      <c r="ER43" s="622"/>
      <c r="ES43" s="622"/>
      <c r="ET43" s="622"/>
      <c r="EU43" s="622"/>
      <c r="EV43" s="622"/>
      <c r="EW43" s="622"/>
      <c r="EX43" s="622"/>
      <c r="EY43" s="622"/>
      <c r="EZ43" s="622"/>
      <c r="FA43" s="622"/>
      <c r="FB43" s="622"/>
      <c r="FC43" s="622"/>
      <c r="FD43" s="622"/>
      <c r="FE43" s="622"/>
      <c r="FF43" s="622"/>
      <c r="FG43" s="622"/>
      <c r="FH43" s="622"/>
      <c r="FI43" s="622"/>
      <c r="FJ43" s="622"/>
      <c r="FK43" s="622"/>
      <c r="FL43" s="622"/>
      <c r="FM43" s="622"/>
      <c r="FN43" s="622"/>
      <c r="FO43" s="622"/>
      <c r="FP43" s="622"/>
      <c r="FQ43" s="622"/>
      <c r="FR43" s="622"/>
      <c r="FS43" s="622"/>
      <c r="FT43" s="622"/>
      <c r="FU43" s="622"/>
      <c r="FV43" s="622"/>
      <c r="FW43" s="622"/>
      <c r="FX43" s="622"/>
      <c r="FY43" s="622"/>
      <c r="FZ43" s="622"/>
      <c r="GA43" s="622"/>
      <c r="GB43" s="622"/>
      <c r="GC43" s="622"/>
      <c r="GD43" s="622"/>
      <c r="GE43" s="622"/>
      <c r="GF43" s="622"/>
      <c r="GG43" s="622"/>
      <c r="GH43" s="622"/>
      <c r="GI43" s="622"/>
      <c r="GJ43" s="622"/>
      <c r="GK43" s="622"/>
      <c r="GL43" s="622"/>
      <c r="GM43" s="622"/>
      <c r="GN43" s="622"/>
      <c r="GO43" s="622"/>
      <c r="GP43" s="622"/>
      <c r="GQ43" s="622"/>
      <c r="GR43" s="622"/>
      <c r="GS43" s="622"/>
    </row>
    <row r="44" spans="1:201" s="418" customFormat="1" ht="21.75" customHeight="1">
      <c r="A44" s="942" t="s">
        <v>539</v>
      </c>
      <c r="B44" s="630" t="s">
        <v>540</v>
      </c>
      <c r="C44" s="630"/>
      <c r="D44" s="630" t="s">
        <v>150</v>
      </c>
      <c r="E44" s="630"/>
      <c r="F44" s="630">
        <v>48.66</v>
      </c>
      <c r="G44" s="630"/>
      <c r="H44" s="630">
        <f t="shared" si="0"/>
        <v>48.66</v>
      </c>
      <c r="I44" s="642">
        <v>1150</v>
      </c>
      <c r="J44" s="642">
        <v>46</v>
      </c>
      <c r="K44" s="642">
        <v>60</v>
      </c>
      <c r="L44" s="642">
        <v>2</v>
      </c>
      <c r="M44" s="640">
        <f t="shared" si="6"/>
        <v>1210</v>
      </c>
      <c r="N44" s="640">
        <f t="shared" si="6"/>
        <v>48</v>
      </c>
      <c r="O44" s="640">
        <f t="shared" si="2"/>
        <v>144</v>
      </c>
      <c r="P44" s="640">
        <f t="shared" si="3"/>
        <v>144</v>
      </c>
      <c r="Q44" s="647"/>
      <c r="R44" s="642"/>
      <c r="S44" s="642"/>
      <c r="T44" s="642">
        <f t="shared" si="4"/>
        <v>0</v>
      </c>
      <c r="U44" s="642"/>
      <c r="V44" s="642"/>
      <c r="W44" s="642"/>
      <c r="X44" s="642">
        <f t="shared" si="5"/>
        <v>46</v>
      </c>
      <c r="Y44" s="642"/>
      <c r="Z44" s="642"/>
      <c r="AA44" s="642"/>
      <c r="AB44" s="642"/>
      <c r="AC44" s="647">
        <v>50.5573</v>
      </c>
      <c r="AD44" s="651">
        <v>20.83</v>
      </c>
      <c r="AE44" s="652"/>
      <c r="AF44" s="622"/>
      <c r="AG44" s="622"/>
      <c r="AH44" s="622"/>
      <c r="AI44" s="622"/>
      <c r="AJ44" s="622"/>
      <c r="AK44" s="622"/>
      <c r="AL44" s="622"/>
      <c r="AM44" s="622"/>
      <c r="AN44" s="622"/>
      <c r="AO44" s="622"/>
      <c r="AP44" s="622"/>
      <c r="AQ44" s="622"/>
      <c r="AR44" s="622"/>
      <c r="AS44" s="622"/>
      <c r="AT44" s="622"/>
      <c r="AU44" s="622"/>
      <c r="AV44" s="622"/>
      <c r="AW44" s="622"/>
      <c r="AX44" s="622"/>
      <c r="AY44" s="622"/>
      <c r="AZ44" s="622"/>
      <c r="BA44" s="622"/>
      <c r="BB44" s="622"/>
      <c r="BC44" s="622"/>
      <c r="BD44" s="622"/>
      <c r="BE44" s="622"/>
      <c r="BF44" s="622"/>
      <c r="BG44" s="622"/>
      <c r="BH44" s="622"/>
      <c r="BI44" s="622"/>
      <c r="BJ44" s="622"/>
      <c r="BK44" s="622"/>
      <c r="BL44" s="622"/>
      <c r="BM44" s="622"/>
      <c r="BN44" s="622"/>
      <c r="BO44" s="622"/>
      <c r="BP44" s="622"/>
      <c r="BQ44" s="622"/>
      <c r="BR44" s="622"/>
      <c r="BS44" s="622"/>
      <c r="BT44" s="622"/>
      <c r="BU44" s="622"/>
      <c r="BV44" s="622"/>
      <c r="BW44" s="622"/>
      <c r="BX44" s="622"/>
      <c r="BY44" s="622"/>
      <c r="BZ44" s="622"/>
      <c r="CA44" s="622"/>
      <c r="CB44" s="622"/>
      <c r="CC44" s="622"/>
      <c r="CD44" s="622"/>
      <c r="CE44" s="622"/>
      <c r="CF44" s="622"/>
      <c r="CG44" s="622"/>
      <c r="CH44" s="622"/>
      <c r="CI44" s="622"/>
      <c r="CJ44" s="622"/>
      <c r="CK44" s="622"/>
      <c r="CL44" s="622"/>
      <c r="CM44" s="622"/>
      <c r="CN44" s="622"/>
      <c r="CO44" s="622"/>
      <c r="CP44" s="622"/>
      <c r="CQ44" s="622"/>
      <c r="CR44" s="622"/>
      <c r="CS44" s="622"/>
      <c r="CT44" s="622"/>
      <c r="CU44" s="622"/>
      <c r="CV44" s="622"/>
      <c r="CW44" s="622"/>
      <c r="CX44" s="622"/>
      <c r="CY44" s="622"/>
      <c r="CZ44" s="622"/>
      <c r="DA44" s="622"/>
      <c r="DB44" s="622"/>
      <c r="DC44" s="622"/>
      <c r="DD44" s="622"/>
      <c r="DE44" s="622"/>
      <c r="DF44" s="622"/>
      <c r="DG44" s="622"/>
      <c r="DH44" s="622"/>
      <c r="DI44" s="622"/>
      <c r="DJ44" s="622"/>
      <c r="DK44" s="622"/>
      <c r="DL44" s="622"/>
      <c r="DM44" s="622"/>
      <c r="DN44" s="622"/>
      <c r="DO44" s="622"/>
      <c r="DP44" s="622"/>
      <c r="DQ44" s="622"/>
      <c r="DR44" s="622"/>
      <c r="DS44" s="622"/>
      <c r="DT44" s="622"/>
      <c r="DU44" s="622"/>
      <c r="DV44" s="622"/>
      <c r="DW44" s="622"/>
      <c r="DX44" s="622"/>
      <c r="DY44" s="622"/>
      <c r="DZ44" s="622"/>
      <c r="EA44" s="622"/>
      <c r="EB44" s="622"/>
      <c r="EC44" s="622"/>
      <c r="ED44" s="622"/>
      <c r="EE44" s="622"/>
      <c r="EF44" s="622"/>
      <c r="EG44" s="622"/>
      <c r="EH44" s="622"/>
      <c r="EI44" s="622"/>
      <c r="EJ44" s="622"/>
      <c r="EK44" s="622"/>
      <c r="EL44" s="622"/>
      <c r="EM44" s="622"/>
      <c r="EN44" s="622"/>
      <c r="EO44" s="622"/>
      <c r="EP44" s="622"/>
      <c r="EQ44" s="622"/>
      <c r="ER44" s="622"/>
      <c r="ES44" s="622"/>
      <c r="ET44" s="622"/>
      <c r="EU44" s="622"/>
      <c r="EV44" s="622"/>
      <c r="EW44" s="622"/>
      <c r="EX44" s="622"/>
      <c r="EY44" s="622"/>
      <c r="EZ44" s="622"/>
      <c r="FA44" s="622"/>
      <c r="FB44" s="622"/>
      <c r="FC44" s="622"/>
      <c r="FD44" s="622"/>
      <c r="FE44" s="622"/>
      <c r="FF44" s="622"/>
      <c r="FG44" s="622"/>
      <c r="FH44" s="622"/>
      <c r="FI44" s="622"/>
      <c r="FJ44" s="622"/>
      <c r="FK44" s="622"/>
      <c r="FL44" s="622"/>
      <c r="FM44" s="622"/>
      <c r="FN44" s="622"/>
      <c r="FO44" s="622"/>
      <c r="FP44" s="622"/>
      <c r="FQ44" s="622"/>
      <c r="FR44" s="622"/>
      <c r="FS44" s="622"/>
      <c r="FT44" s="622"/>
      <c r="FU44" s="622"/>
      <c r="FV44" s="622"/>
      <c r="FW44" s="622"/>
      <c r="FX44" s="622"/>
      <c r="FY44" s="622"/>
      <c r="FZ44" s="622"/>
      <c r="GA44" s="622"/>
      <c r="GB44" s="622"/>
      <c r="GC44" s="622"/>
      <c r="GD44" s="622"/>
      <c r="GE44" s="622"/>
      <c r="GF44" s="622"/>
      <c r="GG44" s="622"/>
      <c r="GH44" s="622"/>
      <c r="GI44" s="622"/>
      <c r="GJ44" s="622"/>
      <c r="GK44" s="622"/>
      <c r="GL44" s="622"/>
      <c r="GM44" s="622"/>
      <c r="GN44" s="622"/>
      <c r="GO44" s="622"/>
      <c r="GP44" s="622"/>
      <c r="GQ44" s="622"/>
      <c r="GR44" s="622"/>
      <c r="GS44" s="622"/>
    </row>
    <row r="45" spans="1:31" s="622" customFormat="1" ht="21.75" customHeight="1">
      <c r="A45" s="942" t="s">
        <v>541</v>
      </c>
      <c r="B45" s="630" t="s">
        <v>542</v>
      </c>
      <c r="C45" s="630"/>
      <c r="D45" s="630"/>
      <c r="E45" s="630" t="s">
        <v>150</v>
      </c>
      <c r="F45" s="630"/>
      <c r="G45" s="630">
        <v>24.5</v>
      </c>
      <c r="H45" s="630">
        <f t="shared" si="0"/>
        <v>24.5</v>
      </c>
      <c r="I45" s="642"/>
      <c r="J45" s="642"/>
      <c r="K45" s="642">
        <v>2950</v>
      </c>
      <c r="L45" s="642">
        <v>37</v>
      </c>
      <c r="M45" s="640">
        <f t="shared" si="6"/>
        <v>2950</v>
      </c>
      <c r="N45" s="640">
        <f t="shared" si="6"/>
        <v>37</v>
      </c>
      <c r="O45" s="640">
        <f t="shared" si="2"/>
        <v>111</v>
      </c>
      <c r="P45" s="640">
        <f t="shared" si="3"/>
        <v>111</v>
      </c>
      <c r="Q45" s="647"/>
      <c r="R45" s="642"/>
      <c r="S45" s="642"/>
      <c r="T45" s="642">
        <f t="shared" si="4"/>
        <v>0</v>
      </c>
      <c r="U45" s="642"/>
      <c r="V45" s="642"/>
      <c r="W45" s="642"/>
      <c r="X45" s="642">
        <f t="shared" si="5"/>
        <v>0</v>
      </c>
      <c r="Y45" s="642"/>
      <c r="Z45" s="642"/>
      <c r="AA45" s="642"/>
      <c r="AB45" s="642"/>
      <c r="AC45" s="647">
        <v>1939.7747</v>
      </c>
      <c r="AD45" s="647">
        <v>0</v>
      </c>
      <c r="AE45" s="652"/>
    </row>
    <row r="46" spans="1:30" ht="21.75" customHeight="1">
      <c r="A46" s="942" t="s">
        <v>543</v>
      </c>
      <c r="B46" s="630" t="s">
        <v>544</v>
      </c>
      <c r="C46" s="624"/>
      <c r="D46" s="630"/>
      <c r="E46" s="624" t="s">
        <v>150</v>
      </c>
      <c r="F46" s="624"/>
      <c r="G46" s="624">
        <v>36.24</v>
      </c>
      <c r="H46" s="630">
        <f t="shared" si="0"/>
        <v>36.24</v>
      </c>
      <c r="I46" s="418"/>
      <c r="J46" s="418"/>
      <c r="K46" s="624">
        <v>2100</v>
      </c>
      <c r="L46" s="624">
        <v>11</v>
      </c>
      <c r="M46" s="640">
        <f t="shared" si="6"/>
        <v>2100</v>
      </c>
      <c r="N46" s="640">
        <f t="shared" si="6"/>
        <v>11</v>
      </c>
      <c r="O46" s="640">
        <f t="shared" si="2"/>
        <v>33</v>
      </c>
      <c r="P46" s="640">
        <f t="shared" si="3"/>
        <v>33</v>
      </c>
      <c r="Q46" s="418"/>
      <c r="R46" s="418"/>
      <c r="S46" s="418"/>
      <c r="T46" s="642">
        <f t="shared" si="4"/>
        <v>0</v>
      </c>
      <c r="U46" s="418"/>
      <c r="V46" s="418"/>
      <c r="W46" s="418"/>
      <c r="X46" s="642">
        <f t="shared" si="5"/>
        <v>0</v>
      </c>
      <c r="Y46" s="418"/>
      <c r="Z46" s="418"/>
      <c r="AA46" s="418"/>
      <c r="AB46" s="418"/>
      <c r="AC46" s="653">
        <v>595.9695</v>
      </c>
      <c r="AD46" s="653">
        <v>0</v>
      </c>
    </row>
    <row r="47" spans="1:30" ht="21.75" customHeight="1">
      <c r="A47" s="942" t="s">
        <v>545</v>
      </c>
      <c r="B47" s="624" t="s">
        <v>546</v>
      </c>
      <c r="C47" s="624"/>
      <c r="D47" s="630" t="s">
        <v>150</v>
      </c>
      <c r="E47" s="630"/>
      <c r="F47" s="624">
        <v>65.48</v>
      </c>
      <c r="G47" s="624"/>
      <c r="H47" s="630">
        <f t="shared" si="0"/>
        <v>65.48</v>
      </c>
      <c r="I47" s="429">
        <v>1200</v>
      </c>
      <c r="J47" s="429">
        <v>48</v>
      </c>
      <c r="K47" s="429">
        <v>225</v>
      </c>
      <c r="L47" s="429">
        <v>3</v>
      </c>
      <c r="M47" s="640">
        <f t="shared" si="6"/>
        <v>1425</v>
      </c>
      <c r="N47" s="640">
        <f t="shared" si="6"/>
        <v>51</v>
      </c>
      <c r="O47" s="640">
        <f t="shared" si="2"/>
        <v>153</v>
      </c>
      <c r="P47" s="640">
        <f t="shared" si="3"/>
        <v>153</v>
      </c>
      <c r="Q47" s="429"/>
      <c r="R47" s="429"/>
      <c r="S47" s="429"/>
      <c r="T47" s="642">
        <f t="shared" si="4"/>
        <v>0</v>
      </c>
      <c r="U47" s="429"/>
      <c r="V47" s="429"/>
      <c r="W47" s="429"/>
      <c r="X47" s="642">
        <f t="shared" si="5"/>
        <v>48</v>
      </c>
      <c r="Y47" s="429"/>
      <c r="Z47" s="429"/>
      <c r="AA47" s="642"/>
      <c r="AB47" s="642"/>
      <c r="AC47" s="653">
        <v>165.4281</v>
      </c>
      <c r="AD47" s="429">
        <v>27.25</v>
      </c>
    </row>
    <row r="48" spans="1:30" ht="21.75" customHeight="1">
      <c r="A48" s="942" t="s">
        <v>547</v>
      </c>
      <c r="B48" s="624" t="s">
        <v>548</v>
      </c>
      <c r="C48" s="624"/>
      <c r="D48" s="630" t="s">
        <v>150</v>
      </c>
      <c r="E48" s="630"/>
      <c r="F48" s="624">
        <v>92.19</v>
      </c>
      <c r="G48" s="624"/>
      <c r="H48" s="630">
        <f t="shared" si="0"/>
        <v>92.19</v>
      </c>
      <c r="I48" s="429">
        <v>1720</v>
      </c>
      <c r="J48" s="429">
        <v>69</v>
      </c>
      <c r="K48" s="429">
        <v>380</v>
      </c>
      <c r="L48" s="429">
        <v>10</v>
      </c>
      <c r="M48" s="640">
        <f t="shared" si="6"/>
        <v>2100</v>
      </c>
      <c r="N48" s="640">
        <f t="shared" si="6"/>
        <v>79</v>
      </c>
      <c r="O48" s="640">
        <f t="shared" si="2"/>
        <v>237</v>
      </c>
      <c r="P48" s="640">
        <f t="shared" si="3"/>
        <v>237</v>
      </c>
      <c r="Q48" s="429"/>
      <c r="R48" s="429"/>
      <c r="S48" s="429"/>
      <c r="T48" s="642">
        <f t="shared" si="4"/>
        <v>0</v>
      </c>
      <c r="U48" s="623"/>
      <c r="V48" s="623"/>
      <c r="W48" s="429"/>
      <c r="X48" s="642">
        <f t="shared" si="5"/>
        <v>69</v>
      </c>
      <c r="Y48" s="429"/>
      <c r="Z48" s="429"/>
      <c r="AA48" s="642"/>
      <c r="AB48" s="642"/>
      <c r="AC48" s="653">
        <v>255.3099</v>
      </c>
      <c r="AD48" s="429">
        <v>25.17</v>
      </c>
    </row>
    <row r="49" spans="1:30" ht="21.75" customHeight="1">
      <c r="A49" s="942" t="s">
        <v>549</v>
      </c>
      <c r="B49" s="624" t="s">
        <v>550</v>
      </c>
      <c r="C49" s="624"/>
      <c r="D49" s="630" t="s">
        <v>150</v>
      </c>
      <c r="E49" s="630"/>
      <c r="F49" s="624">
        <v>11.79</v>
      </c>
      <c r="G49" s="624"/>
      <c r="H49" s="630">
        <f t="shared" si="0"/>
        <v>11.79</v>
      </c>
      <c r="I49" s="418"/>
      <c r="J49" s="418"/>
      <c r="K49" s="418"/>
      <c r="L49" s="418"/>
      <c r="M49" s="640">
        <f t="shared" si="6"/>
        <v>0</v>
      </c>
      <c r="N49" s="640">
        <f t="shared" si="6"/>
        <v>0</v>
      </c>
      <c r="O49" s="640">
        <f t="shared" si="2"/>
        <v>0</v>
      </c>
      <c r="P49" s="640">
        <f t="shared" si="3"/>
        <v>0</v>
      </c>
      <c r="Q49" s="418"/>
      <c r="R49" s="418"/>
      <c r="S49" s="418"/>
      <c r="T49" s="648">
        <f t="shared" si="4"/>
        <v>0</v>
      </c>
      <c r="U49" s="418"/>
      <c r="V49" s="418"/>
      <c r="W49" s="649"/>
      <c r="X49" s="642">
        <f t="shared" si="5"/>
        <v>0</v>
      </c>
      <c r="Y49" s="418"/>
      <c r="Z49" s="418"/>
      <c r="AA49" s="418"/>
      <c r="AB49" s="418"/>
      <c r="AC49" s="653">
        <v>321.6</v>
      </c>
      <c r="AD49" s="653">
        <v>0</v>
      </c>
    </row>
    <row r="50" spans="1:30" ht="21.75" customHeight="1">
      <c r="A50" s="942" t="s">
        <v>551</v>
      </c>
      <c r="B50" s="624" t="s">
        <v>552</v>
      </c>
      <c r="C50" s="624"/>
      <c r="D50" s="630" t="s">
        <v>150</v>
      </c>
      <c r="E50" s="624"/>
      <c r="F50" s="634">
        <v>30.07</v>
      </c>
      <c r="G50" s="624"/>
      <c r="H50" s="630">
        <f t="shared" si="0"/>
        <v>30.07</v>
      </c>
      <c r="I50" s="429">
        <v>420</v>
      </c>
      <c r="J50" s="429">
        <v>17</v>
      </c>
      <c r="K50" s="429">
        <v>300</v>
      </c>
      <c r="L50" s="429">
        <v>2</v>
      </c>
      <c r="M50" s="640">
        <f t="shared" si="6"/>
        <v>720</v>
      </c>
      <c r="N50" s="640">
        <f t="shared" si="6"/>
        <v>19</v>
      </c>
      <c r="O50" s="640">
        <f t="shared" si="2"/>
        <v>57</v>
      </c>
      <c r="P50" s="640">
        <f t="shared" si="3"/>
        <v>57</v>
      </c>
      <c r="Q50" s="418"/>
      <c r="R50" s="624">
        <v>3</v>
      </c>
      <c r="S50" s="418"/>
      <c r="T50" s="648">
        <f t="shared" si="4"/>
        <v>3</v>
      </c>
      <c r="U50" s="418"/>
      <c r="V50" s="418"/>
      <c r="W50" s="649"/>
      <c r="X50" s="642">
        <f t="shared" si="5"/>
        <v>17</v>
      </c>
      <c r="Y50" s="418"/>
      <c r="Z50" s="418"/>
      <c r="AA50" s="418"/>
      <c r="AB50" s="418"/>
      <c r="AC50" s="653">
        <v>75.77625</v>
      </c>
      <c r="AD50" s="653">
        <v>8.15</v>
      </c>
    </row>
    <row r="51" spans="1:30" ht="21.75" customHeight="1">
      <c r="A51" s="942" t="s">
        <v>553</v>
      </c>
      <c r="B51" s="624" t="s">
        <v>554</v>
      </c>
      <c r="C51" s="624"/>
      <c r="D51" s="630"/>
      <c r="E51" s="624" t="s">
        <v>150</v>
      </c>
      <c r="F51" s="635"/>
      <c r="G51" s="624">
        <v>8.44</v>
      </c>
      <c r="H51" s="630">
        <f t="shared" si="0"/>
        <v>8.44</v>
      </c>
      <c r="I51" s="418"/>
      <c r="J51" s="418"/>
      <c r="K51" s="418"/>
      <c r="L51" s="418"/>
      <c r="M51" s="640">
        <f t="shared" si="6"/>
        <v>0</v>
      </c>
      <c r="N51" s="640">
        <f t="shared" si="6"/>
        <v>0</v>
      </c>
      <c r="O51" s="640">
        <f t="shared" si="2"/>
        <v>0</v>
      </c>
      <c r="P51" s="640">
        <f t="shared" si="3"/>
        <v>0</v>
      </c>
      <c r="Q51" s="418"/>
      <c r="R51" s="418"/>
      <c r="S51" s="418"/>
      <c r="T51" s="642"/>
      <c r="U51" s="415"/>
      <c r="V51" s="415"/>
      <c r="W51" s="418"/>
      <c r="X51" s="642">
        <f t="shared" si="5"/>
        <v>0</v>
      </c>
      <c r="Y51" s="418"/>
      <c r="Z51" s="418"/>
      <c r="AA51" s="418"/>
      <c r="AB51" s="418"/>
      <c r="AC51" s="653">
        <v>31.8</v>
      </c>
      <c r="AD51" s="653">
        <v>0</v>
      </c>
    </row>
    <row r="52" spans="1:30" ht="21.75" customHeight="1">
      <c r="A52" s="942" t="s">
        <v>555</v>
      </c>
      <c r="B52" s="624" t="s">
        <v>556</v>
      </c>
      <c r="C52" s="624"/>
      <c r="D52" s="630"/>
      <c r="E52" s="624" t="s">
        <v>150</v>
      </c>
      <c r="F52" s="634"/>
      <c r="G52" s="634">
        <v>8.5</v>
      </c>
      <c r="H52" s="630">
        <f t="shared" si="0"/>
        <v>8.5</v>
      </c>
      <c r="I52" s="418"/>
      <c r="J52" s="418"/>
      <c r="K52" s="418"/>
      <c r="L52" s="418"/>
      <c r="M52" s="640">
        <f t="shared" si="6"/>
        <v>0</v>
      </c>
      <c r="N52" s="640">
        <f t="shared" si="6"/>
        <v>0</v>
      </c>
      <c r="O52" s="640">
        <f t="shared" si="2"/>
        <v>0</v>
      </c>
      <c r="P52" s="640">
        <f t="shared" si="3"/>
        <v>0</v>
      </c>
      <c r="Q52" s="418"/>
      <c r="R52" s="418"/>
      <c r="S52" s="418"/>
      <c r="T52" s="642"/>
      <c r="U52" s="418"/>
      <c r="V52" s="418"/>
      <c r="W52" s="418"/>
      <c r="X52" s="642">
        <f t="shared" si="5"/>
        <v>0</v>
      </c>
      <c r="Y52" s="418"/>
      <c r="Z52" s="418"/>
      <c r="AA52" s="418"/>
      <c r="AB52" s="418"/>
      <c r="AC52" s="653">
        <v>365.1</v>
      </c>
      <c r="AD52" s="653">
        <v>0</v>
      </c>
    </row>
    <row r="53" spans="1:30" ht="21.75" customHeight="1">
      <c r="A53" s="942" t="s">
        <v>557</v>
      </c>
      <c r="B53" s="624" t="s">
        <v>558</v>
      </c>
      <c r="C53" s="624"/>
      <c r="D53" s="630" t="s">
        <v>150</v>
      </c>
      <c r="E53" s="624"/>
      <c r="F53" s="634">
        <v>15.02</v>
      </c>
      <c r="G53" s="634"/>
      <c r="H53" s="630">
        <f t="shared" si="0"/>
        <v>15.02</v>
      </c>
      <c r="I53" s="429">
        <v>1040</v>
      </c>
      <c r="J53" s="429">
        <v>16</v>
      </c>
      <c r="K53" s="429">
        <v>1140</v>
      </c>
      <c r="L53" s="429">
        <v>10</v>
      </c>
      <c r="M53" s="640">
        <f t="shared" si="6"/>
        <v>2180</v>
      </c>
      <c r="N53" s="640">
        <f t="shared" si="6"/>
        <v>26</v>
      </c>
      <c r="O53" s="640">
        <f t="shared" si="2"/>
        <v>78</v>
      </c>
      <c r="P53" s="640">
        <f t="shared" si="3"/>
        <v>78</v>
      </c>
      <c r="Q53" s="418"/>
      <c r="R53" s="418"/>
      <c r="S53" s="418"/>
      <c r="T53" s="642"/>
      <c r="U53" s="418">
        <v>300</v>
      </c>
      <c r="V53" s="418">
        <v>1</v>
      </c>
      <c r="W53" s="418"/>
      <c r="X53" s="642">
        <f t="shared" si="5"/>
        <v>16</v>
      </c>
      <c r="Y53" s="418"/>
      <c r="Z53" s="418"/>
      <c r="AA53" s="418"/>
      <c r="AB53" s="418"/>
      <c r="AC53" s="653">
        <v>624.9474</v>
      </c>
      <c r="AD53" s="653">
        <v>8.15</v>
      </c>
    </row>
    <row r="54" spans="1:30" ht="21.75" customHeight="1">
      <c r="A54" s="942" t="s">
        <v>559</v>
      </c>
      <c r="B54" s="624" t="s">
        <v>560</v>
      </c>
      <c r="C54" s="624"/>
      <c r="D54" s="630" t="s">
        <v>150</v>
      </c>
      <c r="E54" s="624"/>
      <c r="F54" s="634">
        <v>53.85</v>
      </c>
      <c r="G54" s="634"/>
      <c r="H54" s="630">
        <f t="shared" si="0"/>
        <v>53.85</v>
      </c>
      <c r="I54" s="429">
        <v>2240</v>
      </c>
      <c r="J54" s="429">
        <v>61</v>
      </c>
      <c r="K54" s="429">
        <v>555</v>
      </c>
      <c r="L54" s="429">
        <v>12</v>
      </c>
      <c r="M54" s="640">
        <f t="shared" si="6"/>
        <v>2795</v>
      </c>
      <c r="N54" s="640">
        <f t="shared" si="6"/>
        <v>73</v>
      </c>
      <c r="O54" s="640">
        <f t="shared" si="2"/>
        <v>219</v>
      </c>
      <c r="P54" s="640">
        <f t="shared" si="3"/>
        <v>219</v>
      </c>
      <c r="Q54" s="418"/>
      <c r="R54" s="418"/>
      <c r="S54" s="418"/>
      <c r="T54" s="642"/>
      <c r="U54" s="418">
        <v>300</v>
      </c>
      <c r="V54" s="418">
        <v>1</v>
      </c>
      <c r="W54" s="418"/>
      <c r="X54" s="642">
        <f t="shared" si="5"/>
        <v>61</v>
      </c>
      <c r="Y54" s="418"/>
      <c r="Z54" s="418"/>
      <c r="AA54" s="418"/>
      <c r="AB54" s="418"/>
      <c r="AC54" s="653">
        <v>1491.89136</v>
      </c>
      <c r="AD54" s="653">
        <v>8.18</v>
      </c>
    </row>
    <row r="55" spans="1:30" ht="21.75" customHeight="1">
      <c r="A55" s="942" t="s">
        <v>561</v>
      </c>
      <c r="B55" s="636" t="s">
        <v>562</v>
      </c>
      <c r="C55" s="624"/>
      <c r="D55" s="630"/>
      <c r="E55" s="624" t="s">
        <v>150</v>
      </c>
      <c r="F55" s="634"/>
      <c r="G55" s="630">
        <v>3.232</v>
      </c>
      <c r="H55" s="635">
        <f t="shared" si="0"/>
        <v>3.232</v>
      </c>
      <c r="I55" s="429"/>
      <c r="J55" s="429"/>
      <c r="K55" s="429"/>
      <c r="L55" s="429"/>
      <c r="M55" s="640">
        <f t="shared" si="6"/>
        <v>0</v>
      </c>
      <c r="N55" s="640">
        <f t="shared" si="6"/>
        <v>0</v>
      </c>
      <c r="O55" s="640">
        <f t="shared" si="2"/>
        <v>0</v>
      </c>
      <c r="P55" s="640">
        <f t="shared" si="3"/>
        <v>0</v>
      </c>
      <c r="Q55" s="418"/>
      <c r="R55" s="418"/>
      <c r="S55" s="418"/>
      <c r="T55" s="642"/>
      <c r="U55" s="418"/>
      <c r="V55" s="418"/>
      <c r="W55" s="418"/>
      <c r="X55" s="642">
        <f t="shared" si="5"/>
        <v>0</v>
      </c>
      <c r="Y55" s="418"/>
      <c r="Z55" s="418"/>
      <c r="AA55" s="418"/>
      <c r="AB55" s="418"/>
      <c r="AC55" s="653">
        <v>36.8</v>
      </c>
      <c r="AD55" s="653">
        <v>0</v>
      </c>
    </row>
    <row r="56" spans="1:30" ht="21.75" customHeight="1">
      <c r="A56" s="942" t="s">
        <v>563</v>
      </c>
      <c r="B56" s="636" t="s">
        <v>564</v>
      </c>
      <c r="C56" s="624"/>
      <c r="D56" s="630"/>
      <c r="E56" s="624" t="s">
        <v>150</v>
      </c>
      <c r="F56" s="634"/>
      <c r="G56" s="630">
        <v>3.121</v>
      </c>
      <c r="H56" s="635">
        <f t="shared" si="0"/>
        <v>3.121</v>
      </c>
      <c r="I56" s="418"/>
      <c r="J56" s="418"/>
      <c r="K56" s="418"/>
      <c r="L56" s="418"/>
      <c r="M56" s="640">
        <f t="shared" si="6"/>
        <v>0</v>
      </c>
      <c r="N56" s="640">
        <f t="shared" si="6"/>
        <v>0</v>
      </c>
      <c r="O56" s="640">
        <f t="shared" si="2"/>
        <v>0</v>
      </c>
      <c r="P56" s="640">
        <f t="shared" si="3"/>
        <v>0</v>
      </c>
      <c r="Q56" s="418"/>
      <c r="R56" s="418"/>
      <c r="S56" s="418"/>
      <c r="T56" s="642"/>
      <c r="U56" s="418"/>
      <c r="V56" s="418"/>
      <c r="W56" s="418"/>
      <c r="X56" s="642">
        <f t="shared" si="5"/>
        <v>0</v>
      </c>
      <c r="Y56" s="418"/>
      <c r="Z56" s="418"/>
      <c r="AA56" s="418"/>
      <c r="AB56" s="418"/>
      <c r="AC56" s="653">
        <v>0</v>
      </c>
      <c r="AD56" s="653">
        <v>0</v>
      </c>
    </row>
    <row r="57" spans="1:30" ht="21.75" customHeight="1">
      <c r="A57" s="942" t="s">
        <v>565</v>
      </c>
      <c r="B57" s="636" t="s">
        <v>566</v>
      </c>
      <c r="C57" s="624"/>
      <c r="D57" s="630"/>
      <c r="E57" s="624" t="s">
        <v>150</v>
      </c>
      <c r="F57" s="634"/>
      <c r="G57" s="630">
        <v>2.21</v>
      </c>
      <c r="H57" s="630">
        <f t="shared" si="0"/>
        <v>2.21</v>
      </c>
      <c r="I57" s="418"/>
      <c r="J57" s="418"/>
      <c r="K57" s="418"/>
      <c r="L57" s="418"/>
      <c r="M57" s="640">
        <f t="shared" si="6"/>
        <v>0</v>
      </c>
      <c r="N57" s="640">
        <f t="shared" si="6"/>
        <v>0</v>
      </c>
      <c r="O57" s="640">
        <f t="shared" si="2"/>
        <v>0</v>
      </c>
      <c r="P57" s="640">
        <f t="shared" si="3"/>
        <v>0</v>
      </c>
      <c r="Q57" s="418"/>
      <c r="R57" s="418"/>
      <c r="S57" s="418"/>
      <c r="T57" s="642"/>
      <c r="U57" s="418"/>
      <c r="V57" s="418"/>
      <c r="W57" s="418"/>
      <c r="X57" s="642">
        <f t="shared" si="5"/>
        <v>0</v>
      </c>
      <c r="Y57" s="418"/>
      <c r="Z57" s="418"/>
      <c r="AA57" s="418"/>
      <c r="AB57" s="418"/>
      <c r="AC57" s="653">
        <v>4.8</v>
      </c>
      <c r="AD57" s="653">
        <v>0</v>
      </c>
    </row>
    <row r="58" spans="1:30" ht="21.75" customHeight="1">
      <c r="A58" s="942" t="s">
        <v>567</v>
      </c>
      <c r="B58" s="636" t="s">
        <v>568</v>
      </c>
      <c r="C58" s="624"/>
      <c r="D58" s="630"/>
      <c r="E58" s="624" t="s">
        <v>150</v>
      </c>
      <c r="F58" s="634"/>
      <c r="G58" s="630">
        <v>2.11</v>
      </c>
      <c r="H58" s="630">
        <f t="shared" si="0"/>
        <v>2.11</v>
      </c>
      <c r="I58" s="418"/>
      <c r="J58" s="418"/>
      <c r="K58" s="418"/>
      <c r="L58" s="418"/>
      <c r="M58" s="640">
        <f t="shared" si="6"/>
        <v>0</v>
      </c>
      <c r="N58" s="640">
        <f t="shared" si="6"/>
        <v>0</v>
      </c>
      <c r="O58" s="640">
        <f t="shared" si="2"/>
        <v>0</v>
      </c>
      <c r="P58" s="640">
        <f t="shared" si="3"/>
        <v>0</v>
      </c>
      <c r="Q58" s="418"/>
      <c r="R58" s="418"/>
      <c r="S58" s="418"/>
      <c r="T58" s="642"/>
      <c r="U58" s="418"/>
      <c r="V58" s="418"/>
      <c r="W58" s="418"/>
      <c r="X58" s="642">
        <f t="shared" si="5"/>
        <v>0</v>
      </c>
      <c r="Y58" s="418"/>
      <c r="Z58" s="418"/>
      <c r="AA58" s="418"/>
      <c r="AB58" s="418"/>
      <c r="AC58" s="653">
        <v>0</v>
      </c>
      <c r="AD58" s="653">
        <v>0</v>
      </c>
    </row>
    <row r="59" spans="1:30" ht="30" customHeight="1">
      <c r="A59" s="942" t="s">
        <v>569</v>
      </c>
      <c r="B59" s="637" t="s">
        <v>570</v>
      </c>
      <c r="C59" s="624"/>
      <c r="D59" s="630"/>
      <c r="E59" s="624" t="s">
        <v>150</v>
      </c>
      <c r="F59" s="634"/>
      <c r="G59" s="630">
        <v>8.312</v>
      </c>
      <c r="H59" s="630">
        <f t="shared" si="0"/>
        <v>8.312</v>
      </c>
      <c r="I59" s="418"/>
      <c r="J59" s="418"/>
      <c r="K59" s="418"/>
      <c r="L59" s="418"/>
      <c r="M59" s="640">
        <f t="shared" si="6"/>
        <v>0</v>
      </c>
      <c r="N59" s="640">
        <f t="shared" si="6"/>
        <v>0</v>
      </c>
      <c r="O59" s="640">
        <f t="shared" si="2"/>
        <v>0</v>
      </c>
      <c r="P59" s="640">
        <f t="shared" si="3"/>
        <v>0</v>
      </c>
      <c r="Q59" s="418"/>
      <c r="R59" s="418"/>
      <c r="S59" s="418"/>
      <c r="T59" s="642"/>
      <c r="U59" s="418"/>
      <c r="V59" s="418"/>
      <c r="W59" s="418"/>
      <c r="X59" s="642">
        <f t="shared" si="5"/>
        <v>0</v>
      </c>
      <c r="Y59" s="418"/>
      <c r="Z59" s="418"/>
      <c r="AA59" s="418"/>
      <c r="AB59" s="418"/>
      <c r="AC59" s="653">
        <v>0</v>
      </c>
      <c r="AD59" s="653">
        <v>0</v>
      </c>
    </row>
    <row r="60" spans="1:30" ht="30" customHeight="1">
      <c r="A60" s="942" t="s">
        <v>571</v>
      </c>
      <c r="B60" s="637" t="s">
        <v>572</v>
      </c>
      <c r="C60" s="624"/>
      <c r="D60" s="630"/>
      <c r="E60" s="624" t="s">
        <v>150</v>
      </c>
      <c r="F60" s="634"/>
      <c r="G60" s="630">
        <v>8.3</v>
      </c>
      <c r="H60" s="630">
        <f t="shared" si="0"/>
        <v>8.3</v>
      </c>
      <c r="I60" s="418"/>
      <c r="J60" s="418"/>
      <c r="K60" s="418"/>
      <c r="L60" s="418"/>
      <c r="M60" s="640">
        <f t="shared" si="6"/>
        <v>0</v>
      </c>
      <c r="N60" s="640">
        <f t="shared" si="6"/>
        <v>0</v>
      </c>
      <c r="O60" s="640">
        <f t="shared" si="2"/>
        <v>0</v>
      </c>
      <c r="P60" s="640">
        <f t="shared" si="3"/>
        <v>0</v>
      </c>
      <c r="Q60" s="418"/>
      <c r="R60" s="418"/>
      <c r="S60" s="418"/>
      <c r="T60" s="642"/>
      <c r="U60" s="418"/>
      <c r="V60" s="418"/>
      <c r="W60" s="418"/>
      <c r="X60" s="642">
        <f t="shared" si="5"/>
        <v>0</v>
      </c>
      <c r="Y60" s="418"/>
      <c r="Z60" s="418"/>
      <c r="AA60" s="418"/>
      <c r="AB60" s="418"/>
      <c r="AC60" s="653">
        <v>98.4</v>
      </c>
      <c r="AD60" s="653">
        <v>0</v>
      </c>
    </row>
    <row r="61" spans="1:30" ht="30" customHeight="1">
      <c r="A61" s="942" t="s">
        <v>573</v>
      </c>
      <c r="B61" s="637" t="s">
        <v>574</v>
      </c>
      <c r="C61" s="624"/>
      <c r="D61" s="630"/>
      <c r="E61" s="624" t="s">
        <v>150</v>
      </c>
      <c r="F61" s="634"/>
      <c r="G61" s="630">
        <v>3.323</v>
      </c>
      <c r="H61" s="630">
        <f t="shared" si="0"/>
        <v>3.323</v>
      </c>
      <c r="I61" s="418"/>
      <c r="J61" s="418"/>
      <c r="K61" s="418"/>
      <c r="L61" s="418"/>
      <c r="M61" s="640">
        <f t="shared" si="6"/>
        <v>0</v>
      </c>
      <c r="N61" s="640">
        <f t="shared" si="6"/>
        <v>0</v>
      </c>
      <c r="O61" s="640">
        <f t="shared" si="2"/>
        <v>0</v>
      </c>
      <c r="P61" s="640">
        <f t="shared" si="3"/>
        <v>0</v>
      </c>
      <c r="Q61" s="418"/>
      <c r="R61" s="418"/>
      <c r="S61" s="418"/>
      <c r="T61" s="642"/>
      <c r="U61" s="418"/>
      <c r="V61" s="418"/>
      <c r="W61" s="418"/>
      <c r="X61" s="642">
        <f t="shared" si="5"/>
        <v>0</v>
      </c>
      <c r="Y61" s="418"/>
      <c r="Z61" s="418"/>
      <c r="AA61" s="418"/>
      <c r="AB61" s="418"/>
      <c r="AC61" s="653">
        <v>180</v>
      </c>
      <c r="AD61" s="653">
        <v>0</v>
      </c>
    </row>
    <row r="62" spans="1:30" ht="30" customHeight="1">
      <c r="A62" s="942" t="s">
        <v>575</v>
      </c>
      <c r="B62" s="637" t="s">
        <v>576</v>
      </c>
      <c r="C62" s="624"/>
      <c r="D62" s="630"/>
      <c r="E62" s="624" t="s">
        <v>150</v>
      </c>
      <c r="F62" s="634"/>
      <c r="G62" s="630">
        <v>3.381</v>
      </c>
      <c r="H62" s="630">
        <f t="shared" si="0"/>
        <v>3.381</v>
      </c>
      <c r="I62" s="418"/>
      <c r="J62" s="418"/>
      <c r="K62" s="418"/>
      <c r="L62" s="418"/>
      <c r="M62" s="640">
        <f t="shared" si="6"/>
        <v>0</v>
      </c>
      <c r="N62" s="640">
        <f t="shared" si="6"/>
        <v>0</v>
      </c>
      <c r="O62" s="640">
        <f t="shared" si="2"/>
        <v>0</v>
      </c>
      <c r="P62" s="640">
        <f t="shared" si="3"/>
        <v>0</v>
      </c>
      <c r="Q62" s="418"/>
      <c r="R62" s="418"/>
      <c r="S62" s="418"/>
      <c r="T62" s="642"/>
      <c r="U62" s="418"/>
      <c r="V62" s="418"/>
      <c r="W62" s="418"/>
      <c r="X62" s="642">
        <f t="shared" si="5"/>
        <v>0</v>
      </c>
      <c r="Y62" s="418"/>
      <c r="Z62" s="418"/>
      <c r="AA62" s="418"/>
      <c r="AB62" s="418"/>
      <c r="AC62" s="653">
        <v>20</v>
      </c>
      <c r="AD62" s="653">
        <v>0</v>
      </c>
    </row>
    <row r="63" spans="1:30" ht="21.75" customHeight="1">
      <c r="A63" s="942" t="s">
        <v>577</v>
      </c>
      <c r="B63" s="637" t="s">
        <v>578</v>
      </c>
      <c r="C63" s="624"/>
      <c r="D63" s="630"/>
      <c r="E63" s="624" t="s">
        <v>150</v>
      </c>
      <c r="F63" s="634"/>
      <c r="G63" s="630">
        <v>6.738</v>
      </c>
      <c r="H63" s="630">
        <f t="shared" si="0"/>
        <v>6.738</v>
      </c>
      <c r="I63" s="418"/>
      <c r="J63" s="418"/>
      <c r="K63" s="418"/>
      <c r="L63" s="418"/>
      <c r="M63" s="640">
        <f t="shared" si="6"/>
        <v>0</v>
      </c>
      <c r="N63" s="640">
        <f t="shared" si="6"/>
        <v>0</v>
      </c>
      <c r="O63" s="640">
        <f t="shared" si="2"/>
        <v>0</v>
      </c>
      <c r="P63" s="640">
        <f t="shared" si="3"/>
        <v>0</v>
      </c>
      <c r="Q63" s="418"/>
      <c r="R63" s="418"/>
      <c r="S63" s="418"/>
      <c r="T63" s="642"/>
      <c r="U63" s="418"/>
      <c r="V63" s="418"/>
      <c r="W63" s="418"/>
      <c r="X63" s="642">
        <f t="shared" si="5"/>
        <v>0</v>
      </c>
      <c r="Y63" s="418"/>
      <c r="Z63" s="418"/>
      <c r="AA63" s="418"/>
      <c r="AB63" s="418"/>
      <c r="AC63" s="653">
        <v>16.4</v>
      </c>
      <c r="AD63" s="653">
        <v>0</v>
      </c>
    </row>
    <row r="64" spans="1:30" ht="21.75" customHeight="1">
      <c r="A64" s="942" t="s">
        <v>579</v>
      </c>
      <c r="B64" s="637" t="s">
        <v>580</v>
      </c>
      <c r="C64" s="624"/>
      <c r="D64" s="630"/>
      <c r="E64" s="624" t="s">
        <v>150</v>
      </c>
      <c r="F64" s="634"/>
      <c r="G64" s="630">
        <v>6.712</v>
      </c>
      <c r="H64" s="630">
        <f t="shared" si="0"/>
        <v>6.712</v>
      </c>
      <c r="I64" s="418"/>
      <c r="J64" s="418"/>
      <c r="K64" s="418"/>
      <c r="L64" s="418"/>
      <c r="M64" s="640">
        <f t="shared" si="6"/>
        <v>0</v>
      </c>
      <c r="N64" s="640">
        <f t="shared" si="6"/>
        <v>0</v>
      </c>
      <c r="O64" s="640">
        <f t="shared" si="2"/>
        <v>0</v>
      </c>
      <c r="P64" s="640">
        <f t="shared" si="3"/>
        <v>0</v>
      </c>
      <c r="Q64" s="418"/>
      <c r="R64" s="418"/>
      <c r="S64" s="418"/>
      <c r="T64" s="642"/>
      <c r="U64" s="418"/>
      <c r="V64" s="418"/>
      <c r="W64" s="418"/>
      <c r="X64" s="642">
        <f t="shared" si="5"/>
        <v>0</v>
      </c>
      <c r="Y64" s="418"/>
      <c r="Z64" s="418"/>
      <c r="AA64" s="418"/>
      <c r="AB64" s="418"/>
      <c r="AC64" s="653">
        <v>54</v>
      </c>
      <c r="AD64" s="653">
        <v>0</v>
      </c>
    </row>
    <row r="65" spans="1:30" ht="21.75" customHeight="1">
      <c r="A65" s="942" t="s">
        <v>581</v>
      </c>
      <c r="B65" s="637" t="s">
        <v>582</v>
      </c>
      <c r="C65" s="624"/>
      <c r="D65" s="630"/>
      <c r="E65" s="624" t="s">
        <v>150</v>
      </c>
      <c r="F65" s="634"/>
      <c r="G65" s="630">
        <v>5.24</v>
      </c>
      <c r="H65" s="630">
        <f t="shared" si="0"/>
        <v>5.24</v>
      </c>
      <c r="I65" s="418"/>
      <c r="J65" s="418"/>
      <c r="K65" s="418"/>
      <c r="L65" s="418"/>
      <c r="M65" s="640">
        <f t="shared" si="6"/>
        <v>0</v>
      </c>
      <c r="N65" s="640">
        <f t="shared" si="6"/>
        <v>0</v>
      </c>
      <c r="O65" s="640">
        <f t="shared" si="2"/>
        <v>0</v>
      </c>
      <c r="P65" s="640">
        <f t="shared" si="3"/>
        <v>0</v>
      </c>
      <c r="Q65" s="418"/>
      <c r="R65" s="418"/>
      <c r="S65" s="418"/>
      <c r="T65" s="642"/>
      <c r="U65" s="418"/>
      <c r="V65" s="418"/>
      <c r="W65" s="418"/>
      <c r="X65" s="642">
        <f t="shared" si="5"/>
        <v>0</v>
      </c>
      <c r="Y65" s="418"/>
      <c r="Z65" s="418"/>
      <c r="AA65" s="418"/>
      <c r="AB65" s="418"/>
      <c r="AC65" s="653">
        <v>173.6</v>
      </c>
      <c r="AD65" s="653">
        <v>0</v>
      </c>
    </row>
    <row r="66" spans="1:30" ht="21.75" customHeight="1">
      <c r="A66" s="942" t="s">
        <v>583</v>
      </c>
      <c r="B66" s="637" t="s">
        <v>584</v>
      </c>
      <c r="C66" s="624"/>
      <c r="D66" s="630"/>
      <c r="E66" s="624" t="s">
        <v>150</v>
      </c>
      <c r="F66" s="634"/>
      <c r="G66" s="630">
        <v>5.24</v>
      </c>
      <c r="H66" s="630">
        <f t="shared" si="0"/>
        <v>5.24</v>
      </c>
      <c r="I66" s="418"/>
      <c r="J66" s="418"/>
      <c r="K66" s="418"/>
      <c r="L66" s="418"/>
      <c r="M66" s="640">
        <f t="shared" si="6"/>
        <v>0</v>
      </c>
      <c r="N66" s="640">
        <f t="shared" si="6"/>
        <v>0</v>
      </c>
      <c r="O66" s="640">
        <f t="shared" si="2"/>
        <v>0</v>
      </c>
      <c r="P66" s="640">
        <f t="shared" si="3"/>
        <v>0</v>
      </c>
      <c r="Q66" s="418"/>
      <c r="R66" s="418"/>
      <c r="S66" s="418"/>
      <c r="T66" s="642"/>
      <c r="U66" s="418"/>
      <c r="V66" s="418"/>
      <c r="W66" s="418"/>
      <c r="X66" s="642">
        <f t="shared" si="5"/>
        <v>0</v>
      </c>
      <c r="Y66" s="418"/>
      <c r="Z66" s="418"/>
      <c r="AA66" s="418"/>
      <c r="AB66" s="418"/>
      <c r="AC66" s="653">
        <v>0</v>
      </c>
      <c r="AD66" s="653">
        <v>0</v>
      </c>
    </row>
    <row r="67" spans="1:30" ht="21.75" customHeight="1">
      <c r="A67" s="942" t="s">
        <v>585</v>
      </c>
      <c r="B67" s="637" t="s">
        <v>586</v>
      </c>
      <c r="C67" s="624"/>
      <c r="D67" s="630"/>
      <c r="E67" s="624" t="s">
        <v>150</v>
      </c>
      <c r="F67" s="634"/>
      <c r="G67" s="630">
        <v>6.7</v>
      </c>
      <c r="H67" s="630">
        <f t="shared" si="0"/>
        <v>6.7</v>
      </c>
      <c r="I67" s="418"/>
      <c r="J67" s="418"/>
      <c r="K67" s="418"/>
      <c r="L67" s="418"/>
      <c r="M67" s="640">
        <f t="shared" si="6"/>
        <v>0</v>
      </c>
      <c r="N67" s="640">
        <f t="shared" si="6"/>
        <v>0</v>
      </c>
      <c r="O67" s="640">
        <f t="shared" si="2"/>
        <v>0</v>
      </c>
      <c r="P67" s="640">
        <f t="shared" si="3"/>
        <v>0</v>
      </c>
      <c r="Q67" s="418"/>
      <c r="R67" s="418"/>
      <c r="S67" s="418"/>
      <c r="T67" s="642"/>
      <c r="U67" s="418"/>
      <c r="V67" s="418"/>
      <c r="W67" s="418"/>
      <c r="X67" s="642">
        <f t="shared" si="5"/>
        <v>0</v>
      </c>
      <c r="Y67" s="418"/>
      <c r="Z67" s="418"/>
      <c r="AA67" s="418"/>
      <c r="AB67" s="418"/>
      <c r="AC67" s="653">
        <v>0</v>
      </c>
      <c r="AD67" s="653">
        <v>0</v>
      </c>
    </row>
    <row r="68" spans="1:30" ht="21.75" customHeight="1">
      <c r="A68" s="942" t="s">
        <v>587</v>
      </c>
      <c r="B68" s="637" t="s">
        <v>588</v>
      </c>
      <c r="C68" s="624"/>
      <c r="D68" s="630"/>
      <c r="E68" s="624" t="s">
        <v>150</v>
      </c>
      <c r="F68" s="634"/>
      <c r="G68" s="630">
        <v>6.7</v>
      </c>
      <c r="H68" s="630">
        <f t="shared" si="0"/>
        <v>6.7</v>
      </c>
      <c r="I68" s="418"/>
      <c r="J68" s="621"/>
      <c r="K68" s="418"/>
      <c r="L68" s="418"/>
      <c r="M68" s="640">
        <f t="shared" si="6"/>
        <v>0</v>
      </c>
      <c r="N68" s="640">
        <f t="shared" si="6"/>
        <v>0</v>
      </c>
      <c r="O68" s="640">
        <f t="shared" si="2"/>
        <v>0</v>
      </c>
      <c r="P68" s="640">
        <f t="shared" si="3"/>
        <v>0</v>
      </c>
      <c r="Q68" s="418"/>
      <c r="R68" s="418"/>
      <c r="S68" s="418"/>
      <c r="T68" s="642"/>
      <c r="U68" s="418"/>
      <c r="V68" s="418"/>
      <c r="W68" s="418"/>
      <c r="X68" s="642">
        <f>J69</f>
        <v>0</v>
      </c>
      <c r="Y68" s="418"/>
      <c r="Z68" s="418"/>
      <c r="AA68" s="418"/>
      <c r="AB68" s="418"/>
      <c r="AC68" s="653">
        <v>0</v>
      </c>
      <c r="AD68" s="653">
        <v>0</v>
      </c>
    </row>
    <row r="69" spans="1:30" ht="21.75" customHeight="1">
      <c r="A69" s="942" t="s">
        <v>589</v>
      </c>
      <c r="B69" s="637" t="s">
        <v>590</v>
      </c>
      <c r="C69" s="624"/>
      <c r="D69" s="630"/>
      <c r="E69" s="624" t="s">
        <v>150</v>
      </c>
      <c r="F69" s="634"/>
      <c r="G69" s="630">
        <v>5.2</v>
      </c>
      <c r="H69" s="630">
        <f t="shared" si="0"/>
        <v>5.2</v>
      </c>
      <c r="I69" s="418"/>
      <c r="J69" s="418"/>
      <c r="K69" s="418"/>
      <c r="L69" s="418"/>
      <c r="M69" s="640">
        <f t="shared" si="6"/>
        <v>0</v>
      </c>
      <c r="N69" s="640">
        <f t="shared" si="6"/>
        <v>0</v>
      </c>
      <c r="O69" s="640">
        <f t="shared" si="2"/>
        <v>0</v>
      </c>
      <c r="P69" s="640">
        <f t="shared" si="3"/>
        <v>0</v>
      </c>
      <c r="Q69" s="418"/>
      <c r="R69" s="418"/>
      <c r="S69" s="418"/>
      <c r="T69" s="642"/>
      <c r="U69" s="418"/>
      <c r="V69" s="418"/>
      <c r="W69" s="418"/>
      <c r="X69" s="642">
        <f>J70</f>
        <v>0</v>
      </c>
      <c r="Y69" s="418"/>
      <c r="Z69" s="418"/>
      <c r="AA69" s="418"/>
      <c r="AB69" s="418"/>
      <c r="AC69" s="653">
        <v>45.6</v>
      </c>
      <c r="AD69" s="653">
        <v>0</v>
      </c>
    </row>
    <row r="70" spans="1:30" ht="21.75" customHeight="1">
      <c r="A70" s="942" t="s">
        <v>591</v>
      </c>
      <c r="B70" s="637" t="s">
        <v>592</v>
      </c>
      <c r="C70" s="624"/>
      <c r="D70" s="630"/>
      <c r="E70" s="624" t="s">
        <v>150</v>
      </c>
      <c r="F70" s="634"/>
      <c r="G70" s="630">
        <v>5.2</v>
      </c>
      <c r="H70" s="630">
        <f t="shared" si="0"/>
        <v>5.2</v>
      </c>
      <c r="I70" s="418"/>
      <c r="J70" s="418"/>
      <c r="K70" s="418"/>
      <c r="L70" s="418"/>
      <c r="M70" s="640">
        <f t="shared" si="6"/>
        <v>0</v>
      </c>
      <c r="N70" s="640">
        <f t="shared" si="6"/>
        <v>0</v>
      </c>
      <c r="O70" s="640">
        <f t="shared" si="2"/>
        <v>0</v>
      </c>
      <c r="P70" s="640">
        <f t="shared" si="3"/>
        <v>0</v>
      </c>
      <c r="Q70" s="418"/>
      <c r="R70" s="418"/>
      <c r="S70" s="418"/>
      <c r="T70" s="642"/>
      <c r="U70" s="418"/>
      <c r="V70" s="418"/>
      <c r="W70" s="418"/>
      <c r="X70" s="642">
        <f>J70</f>
        <v>0</v>
      </c>
      <c r="Y70" s="418"/>
      <c r="Z70" s="418"/>
      <c r="AA70" s="418"/>
      <c r="AB70" s="418"/>
      <c r="AC70" s="653">
        <v>206.4</v>
      </c>
      <c r="AD70" s="653">
        <v>0</v>
      </c>
    </row>
    <row r="71" spans="1:30" s="621" customFormat="1" ht="21.75" customHeight="1">
      <c r="A71" s="431" t="s">
        <v>209</v>
      </c>
      <c r="B71" s="432"/>
      <c r="C71" s="444">
        <v>12</v>
      </c>
      <c r="D71" s="444">
        <v>20</v>
      </c>
      <c r="E71" s="444">
        <v>32</v>
      </c>
      <c r="F71" s="654">
        <f>SUM(F7:F70)</f>
        <v>1124.6799999999998</v>
      </c>
      <c r="G71" s="654">
        <f aca="true" t="shared" si="7" ref="G71:N71">SUM(G7:G70)</f>
        <v>518.4689999999999</v>
      </c>
      <c r="H71" s="654">
        <f t="shared" si="7"/>
        <v>1643.149</v>
      </c>
      <c r="I71" s="662">
        <f t="shared" si="7"/>
        <v>52568</v>
      </c>
      <c r="J71" s="662">
        <f t="shared" si="7"/>
        <v>873</v>
      </c>
      <c r="K71" s="663">
        <f t="shared" si="7"/>
        <v>116146.3</v>
      </c>
      <c r="L71" s="662">
        <f t="shared" si="7"/>
        <v>950</v>
      </c>
      <c r="M71" s="654">
        <f t="shared" si="7"/>
        <v>168714.3</v>
      </c>
      <c r="N71" s="654">
        <f t="shared" si="7"/>
        <v>1823</v>
      </c>
      <c r="O71" s="654">
        <f aca="true" t="shared" si="8" ref="O71:AB71">SUM(O7:O50)</f>
        <v>5172</v>
      </c>
      <c r="P71" s="654">
        <f t="shared" si="8"/>
        <v>5172</v>
      </c>
      <c r="Q71" s="654">
        <f t="shared" si="8"/>
        <v>0</v>
      </c>
      <c r="R71" s="662">
        <f t="shared" si="8"/>
        <v>33</v>
      </c>
      <c r="S71" s="654">
        <f t="shared" si="8"/>
        <v>0</v>
      </c>
      <c r="T71" s="642">
        <f>R71</f>
        <v>33</v>
      </c>
      <c r="U71" s="654">
        <f>SUM(U7:U54)</f>
        <v>1800</v>
      </c>
      <c r="V71" s="654">
        <f>SUM(V7:V54)</f>
        <v>6</v>
      </c>
      <c r="W71" s="654">
        <f t="shared" si="8"/>
        <v>0</v>
      </c>
      <c r="X71" s="662">
        <f t="shared" si="8"/>
        <v>796</v>
      </c>
      <c r="Y71" s="662">
        <f t="shared" si="8"/>
        <v>0</v>
      </c>
      <c r="Z71" s="662">
        <f t="shared" si="8"/>
        <v>56</v>
      </c>
      <c r="AA71" s="662">
        <f t="shared" si="8"/>
        <v>0</v>
      </c>
      <c r="AB71" s="662">
        <f t="shared" si="8"/>
        <v>0</v>
      </c>
      <c r="AC71" s="664">
        <f>SUM(AC7:AC70)</f>
        <v>32704.34751</v>
      </c>
      <c r="AD71" s="623">
        <v>5.01</v>
      </c>
    </row>
    <row r="72" spans="1:31" ht="21.75" customHeight="1">
      <c r="A72" s="655"/>
      <c r="B72" s="656" t="s">
        <v>461</v>
      </c>
      <c r="C72" s="657"/>
      <c r="D72" s="657"/>
      <c r="E72" s="657"/>
      <c r="F72" s="657"/>
      <c r="G72" s="657"/>
      <c r="H72" s="657"/>
      <c r="I72" s="657"/>
      <c r="J72" s="657"/>
      <c r="K72" s="657"/>
      <c r="L72" s="657"/>
      <c r="M72" s="657"/>
      <c r="N72" s="657"/>
      <c r="O72" s="657"/>
      <c r="P72" s="657"/>
      <c r="Q72" s="657"/>
      <c r="R72" s="657"/>
      <c r="S72" s="657"/>
      <c r="T72" s="657"/>
      <c r="U72" s="657"/>
      <c r="V72" s="657"/>
      <c r="W72" s="657"/>
      <c r="X72" s="657"/>
      <c r="Y72" s="657"/>
      <c r="Z72" s="657"/>
      <c r="AA72" s="657"/>
      <c r="AB72" s="657"/>
      <c r="AC72" s="657"/>
      <c r="AD72" s="665"/>
      <c r="AE72" s="621"/>
    </row>
    <row r="73" spans="1:30" ht="21.75" customHeight="1">
      <c r="A73" s="639"/>
      <c r="B73" s="658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659"/>
      <c r="P73" s="659"/>
      <c r="Q73" s="659"/>
      <c r="R73" s="659"/>
      <c r="S73" s="659"/>
      <c r="T73" s="659"/>
      <c r="U73" s="659"/>
      <c r="V73" s="659"/>
      <c r="W73" s="659"/>
      <c r="X73" s="659"/>
      <c r="Y73" s="659"/>
      <c r="Z73" s="659"/>
      <c r="AA73" s="659"/>
      <c r="AB73" s="659"/>
      <c r="AC73" s="659"/>
      <c r="AD73" s="666"/>
    </row>
    <row r="74" spans="4:28" ht="21.75" customHeight="1">
      <c r="D74" s="660" t="s">
        <v>593</v>
      </c>
      <c r="E74" s="660"/>
      <c r="F74" s="660"/>
      <c r="O74" s="294" t="s">
        <v>177</v>
      </c>
      <c r="P74" s="660" t="s">
        <v>594</v>
      </c>
      <c r="Q74" s="660"/>
      <c r="Y74" s="332" t="s">
        <v>211</v>
      </c>
      <c r="AA74" s="660" t="s">
        <v>595</v>
      </c>
      <c r="AB74" s="660"/>
    </row>
    <row r="75" ht="21.75" customHeight="1"/>
    <row r="76" ht="21.75" customHeight="1"/>
    <row r="77" spans="4:5" ht="21.75" customHeight="1">
      <c r="D77" s="661"/>
      <c r="E77" s="661"/>
    </row>
    <row r="78" spans="4:5" ht="21.75" customHeight="1">
      <c r="D78" s="661"/>
      <c r="E78" s="661"/>
    </row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</sheetData>
  <sheetProtection/>
  <mergeCells count="28">
    <mergeCell ref="A1:AD1"/>
    <mergeCell ref="D2:F2"/>
    <mergeCell ref="X2:AA2"/>
    <mergeCell ref="C3:E3"/>
    <mergeCell ref="F3:H3"/>
    <mergeCell ref="I3:N3"/>
    <mergeCell ref="Q3:T3"/>
    <mergeCell ref="U3:V3"/>
    <mergeCell ref="W3:Y3"/>
    <mergeCell ref="AA3:AB3"/>
    <mergeCell ref="A71:B71"/>
    <mergeCell ref="D74:F74"/>
    <mergeCell ref="P74:Q74"/>
    <mergeCell ref="Y74:Z74"/>
    <mergeCell ref="AA74:AB74"/>
    <mergeCell ref="B3:B6"/>
    <mergeCell ref="C4:C6"/>
    <mergeCell ref="D4:D6"/>
    <mergeCell ref="E4:E6"/>
    <mergeCell ref="W4:W5"/>
    <mergeCell ref="AD5:AD6"/>
    <mergeCell ref="C72:AD73"/>
    <mergeCell ref="F4:H5"/>
    <mergeCell ref="I4:J5"/>
    <mergeCell ref="K4:L5"/>
    <mergeCell ref="M4:N5"/>
    <mergeCell ref="U4:V5"/>
    <mergeCell ref="AA4:AB5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 scale="56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1">
      <selection activeCell="A1" sqref="A1:AE1"/>
    </sheetView>
  </sheetViews>
  <sheetFormatPr defaultColWidth="9.00390625" defaultRowHeight="14.25"/>
  <cols>
    <col min="1" max="5" width="9.00390625" style="294" customWidth="1"/>
    <col min="6" max="6" width="10.00390625" style="294" customWidth="1"/>
    <col min="7" max="7" width="10.25390625" style="294" customWidth="1"/>
    <col min="8" max="8" width="11.25390625" style="294" customWidth="1"/>
    <col min="9" max="28" width="9.00390625" style="294" customWidth="1"/>
    <col min="29" max="29" width="13.00390625" style="294" customWidth="1"/>
    <col min="30" max="16384" width="9.00390625" style="294" customWidth="1"/>
  </cols>
  <sheetData>
    <row r="1" spans="1:30" ht="25.5">
      <c r="A1" s="563" t="s">
        <v>596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</row>
    <row r="2" spans="1:30" ht="15">
      <c r="A2" s="398" t="s">
        <v>597</v>
      </c>
      <c r="B2" s="406"/>
      <c r="C2" s="565"/>
      <c r="D2" s="565"/>
      <c r="E2" s="565"/>
      <c r="F2" s="566"/>
      <c r="G2" s="567"/>
      <c r="H2" s="568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359" t="s">
        <v>598</v>
      </c>
      <c r="W2" s="565"/>
      <c r="X2" s="565"/>
      <c r="Y2" s="565"/>
      <c r="Z2" s="565"/>
      <c r="AA2" s="565"/>
      <c r="AB2" s="565" t="s">
        <v>599</v>
      </c>
      <c r="AC2" s="568"/>
      <c r="AD2" s="565"/>
    </row>
    <row r="3" spans="1:30" ht="15">
      <c r="A3" s="390" t="s">
        <v>102</v>
      </c>
      <c r="B3" s="378" t="s">
        <v>103</v>
      </c>
      <c r="C3" s="378" t="s">
        <v>104</v>
      </c>
      <c r="D3" s="378"/>
      <c r="E3" s="378"/>
      <c r="F3" s="569" t="s">
        <v>105</v>
      </c>
      <c r="G3" s="378"/>
      <c r="H3" s="378"/>
      <c r="I3" s="378" t="s">
        <v>106</v>
      </c>
      <c r="J3" s="378"/>
      <c r="K3" s="378"/>
      <c r="L3" s="378"/>
      <c r="M3" s="378"/>
      <c r="N3" s="378"/>
      <c r="O3" s="390" t="s">
        <v>107</v>
      </c>
      <c r="P3" s="390" t="s">
        <v>108</v>
      </c>
      <c r="Q3" s="591" t="s">
        <v>109</v>
      </c>
      <c r="R3" s="609"/>
      <c r="S3" s="609"/>
      <c r="T3" s="569"/>
      <c r="U3" s="378" t="s">
        <v>110</v>
      </c>
      <c r="V3" s="378"/>
      <c r="W3" s="591" t="s">
        <v>111</v>
      </c>
      <c r="X3" s="609"/>
      <c r="Y3" s="569"/>
      <c r="Z3" s="390" t="s">
        <v>112</v>
      </c>
      <c r="AA3" s="378" t="s">
        <v>113</v>
      </c>
      <c r="AB3" s="378"/>
      <c r="AC3" s="610" t="s">
        <v>114</v>
      </c>
      <c r="AD3" s="390" t="s">
        <v>115</v>
      </c>
    </row>
    <row r="4" spans="1:30" ht="15">
      <c r="A4" s="570"/>
      <c r="B4" s="378"/>
      <c r="C4" s="378" t="s">
        <v>116</v>
      </c>
      <c r="D4" s="378" t="s">
        <v>117</v>
      </c>
      <c r="E4" s="378" t="s">
        <v>118</v>
      </c>
      <c r="F4" s="365" t="s">
        <v>119</v>
      </c>
      <c r="G4" s="366"/>
      <c r="H4" s="366"/>
      <c r="I4" s="378" t="s">
        <v>120</v>
      </c>
      <c r="J4" s="378"/>
      <c r="K4" s="378" t="s">
        <v>121</v>
      </c>
      <c r="L4" s="378"/>
      <c r="M4" s="378" t="s">
        <v>122</v>
      </c>
      <c r="N4" s="378"/>
      <c r="O4" s="570"/>
      <c r="P4" s="604" t="s">
        <v>123</v>
      </c>
      <c r="Q4" s="390"/>
      <c r="R4" s="390"/>
      <c r="S4" s="390"/>
      <c r="T4" s="390"/>
      <c r="U4" s="378" t="s">
        <v>124</v>
      </c>
      <c r="V4" s="378"/>
      <c r="W4" s="390" t="s">
        <v>125</v>
      </c>
      <c r="X4" s="390" t="s">
        <v>126</v>
      </c>
      <c r="Y4" s="390" t="s">
        <v>126</v>
      </c>
      <c r="Z4" s="570" t="s">
        <v>127</v>
      </c>
      <c r="AA4" s="378" t="s">
        <v>128</v>
      </c>
      <c r="AB4" s="378"/>
      <c r="AC4" s="611" t="s">
        <v>129</v>
      </c>
      <c r="AD4" s="379" t="s">
        <v>130</v>
      </c>
    </row>
    <row r="5" spans="1:30" ht="15">
      <c r="A5" s="570"/>
      <c r="B5" s="378"/>
      <c r="C5" s="378"/>
      <c r="D5" s="378"/>
      <c r="E5" s="378"/>
      <c r="F5" s="365"/>
      <c r="G5" s="366"/>
      <c r="H5" s="366"/>
      <c r="I5" s="378"/>
      <c r="J5" s="378"/>
      <c r="K5" s="378"/>
      <c r="L5" s="378"/>
      <c r="M5" s="378"/>
      <c r="N5" s="378"/>
      <c r="O5" s="379" t="s">
        <v>131</v>
      </c>
      <c r="P5" s="599" t="s">
        <v>132</v>
      </c>
      <c r="Q5" s="570"/>
      <c r="R5" s="570" t="s">
        <v>133</v>
      </c>
      <c r="S5" s="570"/>
      <c r="T5" s="570"/>
      <c r="U5" s="378"/>
      <c r="V5" s="378"/>
      <c r="W5" s="570"/>
      <c r="X5" s="570"/>
      <c r="Y5" s="570"/>
      <c r="Z5" s="379" t="s">
        <v>134</v>
      </c>
      <c r="AA5" s="378"/>
      <c r="AB5" s="378"/>
      <c r="AC5" s="610" t="s">
        <v>135</v>
      </c>
      <c r="AD5" s="408" t="s">
        <v>136</v>
      </c>
    </row>
    <row r="6" spans="1:30" ht="15">
      <c r="A6" s="379" t="s">
        <v>137</v>
      </c>
      <c r="B6" s="378"/>
      <c r="C6" s="378"/>
      <c r="D6" s="378"/>
      <c r="E6" s="378"/>
      <c r="F6" s="571" t="s">
        <v>120</v>
      </c>
      <c r="G6" s="474" t="s">
        <v>121</v>
      </c>
      <c r="H6" s="411" t="s">
        <v>122</v>
      </c>
      <c r="I6" s="378" t="s">
        <v>138</v>
      </c>
      <c r="J6" s="378" t="s">
        <v>139</v>
      </c>
      <c r="K6" s="378" t="s">
        <v>138</v>
      </c>
      <c r="L6" s="378" t="s">
        <v>139</v>
      </c>
      <c r="M6" s="378" t="s">
        <v>138</v>
      </c>
      <c r="N6" s="378" t="s">
        <v>139</v>
      </c>
      <c r="O6" s="378" t="s">
        <v>128</v>
      </c>
      <c r="P6" s="378" t="s">
        <v>128</v>
      </c>
      <c r="Q6" s="409" t="s">
        <v>406</v>
      </c>
      <c r="R6" s="379" t="s">
        <v>141</v>
      </c>
      <c r="S6" s="379" t="s">
        <v>142</v>
      </c>
      <c r="T6" s="379" t="s">
        <v>122</v>
      </c>
      <c r="U6" s="378" t="s">
        <v>138</v>
      </c>
      <c r="V6" s="378" t="s">
        <v>139</v>
      </c>
      <c r="W6" s="379"/>
      <c r="X6" s="379" t="s">
        <v>143</v>
      </c>
      <c r="Y6" s="379" t="s">
        <v>144</v>
      </c>
      <c r="Z6" s="378" t="s">
        <v>145</v>
      </c>
      <c r="AA6" s="366" t="s">
        <v>146</v>
      </c>
      <c r="AB6" s="366" t="s">
        <v>147</v>
      </c>
      <c r="AC6" s="611" t="s">
        <v>148</v>
      </c>
      <c r="AD6" s="409"/>
    </row>
    <row r="7" spans="1:30" ht="24.75" customHeight="1">
      <c r="A7" s="488">
        <v>1</v>
      </c>
      <c r="B7" s="379" t="s">
        <v>600</v>
      </c>
      <c r="C7" s="378" t="s">
        <v>150</v>
      </c>
      <c r="D7" s="378"/>
      <c r="E7" s="378"/>
      <c r="F7" s="572">
        <v>9.365</v>
      </c>
      <c r="G7" s="573">
        <v>4.982</v>
      </c>
      <c r="H7" s="574">
        <f>F7+G7</f>
        <v>14.347000000000001</v>
      </c>
      <c r="I7" s="379">
        <v>8745</v>
      </c>
      <c r="J7" s="379">
        <v>40</v>
      </c>
      <c r="K7" s="379">
        <v>10261</v>
      </c>
      <c r="L7" s="379">
        <v>55</v>
      </c>
      <c r="M7" s="488">
        <f>I7+K7</f>
        <v>19006</v>
      </c>
      <c r="N7" s="578">
        <f>J7+L7</f>
        <v>95</v>
      </c>
      <c r="O7" s="379">
        <v>297</v>
      </c>
      <c r="P7" s="379">
        <v>336</v>
      </c>
      <c r="Q7" s="379"/>
      <c r="R7" s="379">
        <v>7</v>
      </c>
      <c r="S7" s="379"/>
      <c r="T7" s="379">
        <v>7</v>
      </c>
      <c r="U7" s="379"/>
      <c r="V7" s="379"/>
      <c r="W7" s="379">
        <v>5462</v>
      </c>
      <c r="X7" s="379">
        <v>511</v>
      </c>
      <c r="Y7" s="379">
        <v>20</v>
      </c>
      <c r="Z7" s="379">
        <v>1</v>
      </c>
      <c r="AA7" s="379">
        <v>249</v>
      </c>
      <c r="AB7" s="379">
        <v>3</v>
      </c>
      <c r="AC7" s="379">
        <v>2303.6722</v>
      </c>
      <c r="AD7" s="379">
        <v>3.9</v>
      </c>
    </row>
    <row r="8" spans="1:30" ht="24.75" customHeight="1">
      <c r="A8" s="488">
        <v>2</v>
      </c>
      <c r="B8" s="378" t="s">
        <v>601</v>
      </c>
      <c r="C8" s="378" t="s">
        <v>150</v>
      </c>
      <c r="D8" s="378"/>
      <c r="E8" s="378"/>
      <c r="F8" s="575">
        <v>8.695</v>
      </c>
      <c r="G8" s="474">
        <v>0.988</v>
      </c>
      <c r="H8" s="574">
        <f aca="true" t="shared" si="0" ref="H8:H35">F8+G8</f>
        <v>9.683</v>
      </c>
      <c r="I8" s="378">
        <v>10560</v>
      </c>
      <c r="J8" s="378">
        <v>34</v>
      </c>
      <c r="K8" s="378">
        <v>3370</v>
      </c>
      <c r="L8" s="378">
        <v>12</v>
      </c>
      <c r="M8" s="488">
        <f aca="true" t="shared" si="1" ref="M8:N34">I8+K8</f>
        <v>13930</v>
      </c>
      <c r="N8" s="578">
        <f t="shared" si="1"/>
        <v>46</v>
      </c>
      <c r="O8" s="378">
        <v>144</v>
      </c>
      <c r="P8" s="378">
        <v>162</v>
      </c>
      <c r="Q8" s="378"/>
      <c r="R8" s="378">
        <v>3</v>
      </c>
      <c r="S8" s="378"/>
      <c r="T8" s="378">
        <v>3</v>
      </c>
      <c r="U8" s="378"/>
      <c r="V8" s="378"/>
      <c r="W8" s="378">
        <v>5215</v>
      </c>
      <c r="X8" s="378">
        <v>335</v>
      </c>
      <c r="Y8" s="378">
        <v>3</v>
      </c>
      <c r="Z8" s="378">
        <v>1</v>
      </c>
      <c r="AA8" s="378">
        <v>255</v>
      </c>
      <c r="AB8" s="378">
        <v>3</v>
      </c>
      <c r="AC8" s="378">
        <v>2620.6029</v>
      </c>
      <c r="AD8" s="378">
        <v>6.88</v>
      </c>
    </row>
    <row r="9" spans="1:30" ht="24.75" customHeight="1">
      <c r="A9" s="488">
        <v>3</v>
      </c>
      <c r="B9" s="378" t="s">
        <v>602</v>
      </c>
      <c r="C9" s="378" t="s">
        <v>150</v>
      </c>
      <c r="D9" s="378"/>
      <c r="E9" s="378"/>
      <c r="F9" s="575">
        <v>5.716</v>
      </c>
      <c r="G9" s="474">
        <v>3.741</v>
      </c>
      <c r="H9" s="574">
        <f t="shared" si="0"/>
        <v>9.457</v>
      </c>
      <c r="I9" s="378">
        <v>6175</v>
      </c>
      <c r="J9" s="378">
        <v>23</v>
      </c>
      <c r="K9" s="378">
        <v>8923</v>
      </c>
      <c r="L9" s="378">
        <v>32</v>
      </c>
      <c r="M9" s="488">
        <f t="shared" si="1"/>
        <v>15098</v>
      </c>
      <c r="N9" s="578">
        <f t="shared" si="1"/>
        <v>55</v>
      </c>
      <c r="O9" s="378">
        <v>177</v>
      </c>
      <c r="P9" s="378">
        <v>210</v>
      </c>
      <c r="Q9" s="378"/>
      <c r="R9" s="378">
        <v>3</v>
      </c>
      <c r="S9" s="378"/>
      <c r="T9" s="378">
        <v>3</v>
      </c>
      <c r="U9" s="378"/>
      <c r="V9" s="378"/>
      <c r="W9" s="378">
        <v>3313</v>
      </c>
      <c r="X9" s="378">
        <v>316</v>
      </c>
      <c r="Y9" s="378">
        <v>15</v>
      </c>
      <c r="Z9" s="378">
        <v>2</v>
      </c>
      <c r="AA9" s="378">
        <v>153</v>
      </c>
      <c r="AB9" s="378">
        <v>6</v>
      </c>
      <c r="AC9" s="378">
        <v>1749.3998</v>
      </c>
      <c r="AD9" s="378">
        <v>3.01</v>
      </c>
    </row>
    <row r="10" spans="1:30" ht="24.75" customHeight="1">
      <c r="A10" s="488">
        <v>4</v>
      </c>
      <c r="B10" s="378" t="s">
        <v>603</v>
      </c>
      <c r="C10" s="378" t="s">
        <v>150</v>
      </c>
      <c r="D10" s="378"/>
      <c r="E10" s="378"/>
      <c r="F10" s="575">
        <v>5.013</v>
      </c>
      <c r="G10" s="474">
        <v>0.875</v>
      </c>
      <c r="H10" s="574">
        <f t="shared" si="0"/>
        <v>5.888</v>
      </c>
      <c r="I10" s="378">
        <v>5200</v>
      </c>
      <c r="J10" s="378">
        <v>17</v>
      </c>
      <c r="K10" s="378">
        <v>2355</v>
      </c>
      <c r="L10" s="378">
        <v>14</v>
      </c>
      <c r="M10" s="488">
        <f t="shared" si="1"/>
        <v>7555</v>
      </c>
      <c r="N10" s="578">
        <f t="shared" si="1"/>
        <v>31</v>
      </c>
      <c r="O10" s="378">
        <v>99</v>
      </c>
      <c r="P10" s="378">
        <v>108</v>
      </c>
      <c r="Q10" s="378"/>
      <c r="R10" s="378">
        <v>1</v>
      </c>
      <c r="S10" s="378"/>
      <c r="T10" s="378">
        <v>1</v>
      </c>
      <c r="U10" s="378"/>
      <c r="V10" s="378"/>
      <c r="W10" s="378">
        <v>3901</v>
      </c>
      <c r="X10" s="378">
        <v>205</v>
      </c>
      <c r="Y10" s="378">
        <v>6</v>
      </c>
      <c r="Z10" s="378"/>
      <c r="AA10" s="378">
        <v>159</v>
      </c>
      <c r="AB10" s="378"/>
      <c r="AC10" s="378">
        <v>1254.8942</v>
      </c>
      <c r="AD10" s="378">
        <v>5.67</v>
      </c>
    </row>
    <row r="11" spans="1:30" ht="24.75" customHeight="1">
      <c r="A11" s="488">
        <v>5</v>
      </c>
      <c r="B11" s="378" t="s">
        <v>604</v>
      </c>
      <c r="C11" s="378" t="s">
        <v>150</v>
      </c>
      <c r="D11" s="378"/>
      <c r="E11" s="378"/>
      <c r="F11" s="575">
        <v>2.964</v>
      </c>
      <c r="G11" s="474">
        <v>0.853</v>
      </c>
      <c r="H11" s="574">
        <f t="shared" si="0"/>
        <v>3.817</v>
      </c>
      <c r="I11" s="378">
        <v>2410</v>
      </c>
      <c r="J11" s="378">
        <v>10</v>
      </c>
      <c r="K11" s="378">
        <v>2050</v>
      </c>
      <c r="L11" s="378">
        <v>10</v>
      </c>
      <c r="M11" s="488">
        <f t="shared" si="1"/>
        <v>4460</v>
      </c>
      <c r="N11" s="578">
        <f t="shared" si="1"/>
        <v>20</v>
      </c>
      <c r="O11" s="378">
        <v>60</v>
      </c>
      <c r="P11" s="378">
        <v>66</v>
      </c>
      <c r="Q11" s="378"/>
      <c r="R11" s="378">
        <v>1</v>
      </c>
      <c r="S11" s="378"/>
      <c r="T11" s="378">
        <v>1</v>
      </c>
      <c r="U11" s="378"/>
      <c r="V11" s="378"/>
      <c r="W11" s="378">
        <v>1432</v>
      </c>
      <c r="X11" s="378">
        <v>136</v>
      </c>
      <c r="Y11" s="378">
        <v>6</v>
      </c>
      <c r="Z11" s="378"/>
      <c r="AA11" s="378">
        <v>72</v>
      </c>
      <c r="AB11" s="378"/>
      <c r="AC11" s="378">
        <v>861.4682</v>
      </c>
      <c r="AD11" s="378">
        <v>-0.52</v>
      </c>
    </row>
    <row r="12" spans="1:30" ht="24.75" customHeight="1">
      <c r="A12" s="488">
        <v>6</v>
      </c>
      <c r="B12" s="378" t="s">
        <v>605</v>
      </c>
      <c r="C12" s="378" t="s">
        <v>150</v>
      </c>
      <c r="D12" s="378"/>
      <c r="E12" s="378"/>
      <c r="F12" s="575">
        <v>10.362</v>
      </c>
      <c r="G12" s="474">
        <v>1.535</v>
      </c>
      <c r="H12" s="574">
        <f t="shared" si="0"/>
        <v>11.897</v>
      </c>
      <c r="I12" s="378">
        <v>2355</v>
      </c>
      <c r="J12" s="378">
        <v>11</v>
      </c>
      <c r="K12" s="378">
        <v>7820</v>
      </c>
      <c r="L12" s="378">
        <v>23</v>
      </c>
      <c r="M12" s="488">
        <f t="shared" si="1"/>
        <v>10175</v>
      </c>
      <c r="N12" s="578">
        <f t="shared" si="1"/>
        <v>34</v>
      </c>
      <c r="O12" s="378">
        <v>108</v>
      </c>
      <c r="P12" s="378">
        <v>168</v>
      </c>
      <c r="Q12" s="378"/>
      <c r="R12" s="378">
        <v>6</v>
      </c>
      <c r="S12" s="378"/>
      <c r="T12" s="378">
        <v>6</v>
      </c>
      <c r="U12" s="378"/>
      <c r="V12" s="378"/>
      <c r="W12" s="378">
        <v>1240</v>
      </c>
      <c r="X12" s="378">
        <v>117</v>
      </c>
      <c r="Y12" s="378">
        <v>7</v>
      </c>
      <c r="Z12" s="378">
        <v>6</v>
      </c>
      <c r="AA12" s="378">
        <v>96</v>
      </c>
      <c r="AB12" s="378">
        <v>18</v>
      </c>
      <c r="AC12" s="378">
        <v>2575.5318</v>
      </c>
      <c r="AD12" s="378">
        <v>6.65</v>
      </c>
    </row>
    <row r="13" spans="1:30" ht="24.75" customHeight="1">
      <c r="A13" s="488">
        <v>7</v>
      </c>
      <c r="B13" s="540" t="s">
        <v>606</v>
      </c>
      <c r="C13" s="378" t="s">
        <v>150</v>
      </c>
      <c r="D13" s="378"/>
      <c r="E13" s="378"/>
      <c r="F13" s="575">
        <v>9.195</v>
      </c>
      <c r="G13" s="474">
        <v>2.315</v>
      </c>
      <c r="H13" s="574">
        <f t="shared" si="0"/>
        <v>11.51</v>
      </c>
      <c r="I13" s="378">
        <v>3450</v>
      </c>
      <c r="J13" s="378">
        <v>14</v>
      </c>
      <c r="K13" s="378">
        <v>11905</v>
      </c>
      <c r="L13" s="378">
        <v>21</v>
      </c>
      <c r="M13" s="488">
        <f t="shared" si="1"/>
        <v>15355</v>
      </c>
      <c r="N13" s="578">
        <f t="shared" si="1"/>
        <v>35</v>
      </c>
      <c r="O13" s="378">
        <v>120</v>
      </c>
      <c r="P13" s="378">
        <v>144</v>
      </c>
      <c r="Q13" s="378"/>
      <c r="R13" s="378">
        <v>4</v>
      </c>
      <c r="S13" s="378"/>
      <c r="T13" s="378">
        <v>4</v>
      </c>
      <c r="U13" s="378"/>
      <c r="V13" s="378"/>
      <c r="W13" s="378">
        <v>4190</v>
      </c>
      <c r="X13" s="378">
        <v>183</v>
      </c>
      <c r="Y13" s="378">
        <v>3</v>
      </c>
      <c r="Z13" s="378">
        <v>4</v>
      </c>
      <c r="AA13" s="378">
        <v>108</v>
      </c>
      <c r="AB13" s="378">
        <v>12</v>
      </c>
      <c r="AC13" s="378">
        <v>1283.9161</v>
      </c>
      <c r="AD13" s="378">
        <v>5.32</v>
      </c>
    </row>
    <row r="14" spans="1:30" ht="24.75" customHeight="1">
      <c r="A14" s="488">
        <v>8</v>
      </c>
      <c r="B14" s="540" t="s">
        <v>607</v>
      </c>
      <c r="C14" s="378" t="s">
        <v>150</v>
      </c>
      <c r="D14" s="378"/>
      <c r="E14" s="378"/>
      <c r="F14" s="575">
        <v>4.45</v>
      </c>
      <c r="G14" s="474">
        <v>0.695</v>
      </c>
      <c r="H14" s="574">
        <f t="shared" si="0"/>
        <v>5.1450000000000005</v>
      </c>
      <c r="I14" s="378">
        <v>1605</v>
      </c>
      <c r="J14" s="378">
        <v>6</v>
      </c>
      <c r="K14" s="378">
        <v>3871</v>
      </c>
      <c r="L14" s="378">
        <v>18</v>
      </c>
      <c r="M14" s="488">
        <f t="shared" si="1"/>
        <v>5476</v>
      </c>
      <c r="N14" s="578">
        <f t="shared" si="1"/>
        <v>24</v>
      </c>
      <c r="O14" s="378">
        <v>75</v>
      </c>
      <c r="P14" s="378">
        <v>87</v>
      </c>
      <c r="Q14" s="378"/>
      <c r="R14" s="378">
        <v>2</v>
      </c>
      <c r="S14" s="378"/>
      <c r="T14" s="378">
        <v>2</v>
      </c>
      <c r="U14" s="378"/>
      <c r="V14" s="378"/>
      <c r="W14" s="378">
        <v>1657</v>
      </c>
      <c r="X14" s="378">
        <v>140</v>
      </c>
      <c r="Y14" s="378">
        <v>7</v>
      </c>
      <c r="Z14" s="378">
        <v>1</v>
      </c>
      <c r="AA14" s="378">
        <v>102</v>
      </c>
      <c r="AB14" s="378">
        <v>3</v>
      </c>
      <c r="AC14" s="378"/>
      <c r="AD14" s="378"/>
    </row>
    <row r="15" spans="1:30" ht="24.75" customHeight="1">
      <c r="A15" s="488">
        <v>9</v>
      </c>
      <c r="B15" s="488" t="s">
        <v>608</v>
      </c>
      <c r="C15" s="488"/>
      <c r="D15" s="488" t="s">
        <v>150</v>
      </c>
      <c r="E15" s="488"/>
      <c r="F15" s="338">
        <v>20.424</v>
      </c>
      <c r="G15" s="338">
        <v>0.6</v>
      </c>
      <c r="H15" s="574">
        <f t="shared" si="0"/>
        <v>21.024</v>
      </c>
      <c r="I15" s="338">
        <v>2809</v>
      </c>
      <c r="J15" s="338">
        <v>35</v>
      </c>
      <c r="K15" s="338">
        <v>1961</v>
      </c>
      <c r="L15" s="338">
        <v>21</v>
      </c>
      <c r="M15" s="488">
        <f t="shared" si="1"/>
        <v>4770</v>
      </c>
      <c r="N15" s="578">
        <f t="shared" si="1"/>
        <v>56</v>
      </c>
      <c r="O15" s="338">
        <v>219</v>
      </c>
      <c r="P15" s="338">
        <v>207</v>
      </c>
      <c r="Q15" s="338"/>
      <c r="R15" s="338">
        <v>2</v>
      </c>
      <c r="S15" s="338"/>
      <c r="T15" s="338">
        <v>2</v>
      </c>
      <c r="U15" s="338"/>
      <c r="V15" s="338"/>
      <c r="W15" s="338">
        <v>4563</v>
      </c>
      <c r="X15" s="338">
        <v>195</v>
      </c>
      <c r="Y15" s="338">
        <v>3</v>
      </c>
      <c r="Z15" s="338">
        <v>2</v>
      </c>
      <c r="AA15" s="338">
        <v>195</v>
      </c>
      <c r="AB15" s="305">
        <v>3</v>
      </c>
      <c r="AC15" s="379">
        <v>672.8893</v>
      </c>
      <c r="AD15" s="379">
        <v>5.29</v>
      </c>
    </row>
    <row r="16" spans="1:30" ht="24.75" customHeight="1">
      <c r="A16" s="488">
        <v>10</v>
      </c>
      <c r="B16" s="488" t="s">
        <v>609</v>
      </c>
      <c r="C16" s="488"/>
      <c r="D16" s="488" t="s">
        <v>150</v>
      </c>
      <c r="E16" s="488"/>
      <c r="F16" s="336">
        <v>22.08</v>
      </c>
      <c r="G16" s="336">
        <v>1.85</v>
      </c>
      <c r="H16" s="574">
        <f t="shared" si="0"/>
        <v>23.93</v>
      </c>
      <c r="I16" s="336">
        <v>2663</v>
      </c>
      <c r="J16" s="336">
        <v>34</v>
      </c>
      <c r="K16" s="336">
        <v>1533</v>
      </c>
      <c r="L16" s="336">
        <v>11</v>
      </c>
      <c r="M16" s="488">
        <f t="shared" si="1"/>
        <v>4196</v>
      </c>
      <c r="N16" s="578">
        <f t="shared" si="1"/>
        <v>45</v>
      </c>
      <c r="O16" s="336">
        <v>147</v>
      </c>
      <c r="P16" s="336">
        <v>141</v>
      </c>
      <c r="Q16" s="336"/>
      <c r="R16" s="336">
        <v>1</v>
      </c>
      <c r="S16" s="336"/>
      <c r="T16" s="336">
        <v>1</v>
      </c>
      <c r="U16" s="336"/>
      <c r="V16" s="336"/>
      <c r="W16" s="336">
        <v>2617</v>
      </c>
      <c r="X16" s="336">
        <v>37</v>
      </c>
      <c r="Y16" s="336">
        <v>4</v>
      </c>
      <c r="Z16" s="336">
        <v>1</v>
      </c>
      <c r="AA16" s="336">
        <v>135</v>
      </c>
      <c r="AB16" s="301"/>
      <c r="AC16" s="378">
        <v>513.4472</v>
      </c>
      <c r="AD16" s="411">
        <v>7.69</v>
      </c>
    </row>
    <row r="17" spans="1:30" ht="24.75" customHeight="1">
      <c r="A17" s="488">
        <v>11</v>
      </c>
      <c r="B17" s="488" t="s">
        <v>610</v>
      </c>
      <c r="C17" s="488"/>
      <c r="D17" s="488" t="s">
        <v>150</v>
      </c>
      <c r="E17" s="488"/>
      <c r="F17" s="576">
        <v>38.69</v>
      </c>
      <c r="G17" s="577">
        <v>3.921</v>
      </c>
      <c r="H17" s="574">
        <f t="shared" si="0"/>
        <v>42.611</v>
      </c>
      <c r="I17" s="336">
        <v>2569</v>
      </c>
      <c r="J17" s="336">
        <v>27</v>
      </c>
      <c r="K17" s="336">
        <v>4605</v>
      </c>
      <c r="L17" s="336">
        <v>38</v>
      </c>
      <c r="M17" s="488">
        <f t="shared" si="1"/>
        <v>7174</v>
      </c>
      <c r="N17" s="578">
        <f t="shared" si="1"/>
        <v>65</v>
      </c>
      <c r="O17" s="336">
        <v>186</v>
      </c>
      <c r="P17" s="336">
        <v>186</v>
      </c>
      <c r="Q17" s="336"/>
      <c r="R17" s="336">
        <v>2</v>
      </c>
      <c r="S17" s="336"/>
      <c r="T17" s="336">
        <v>1</v>
      </c>
      <c r="U17" s="336"/>
      <c r="V17" s="336"/>
      <c r="W17" s="336"/>
      <c r="X17" s="336">
        <v>64</v>
      </c>
      <c r="Y17" s="336">
        <v>15</v>
      </c>
      <c r="Z17" s="336">
        <v>11</v>
      </c>
      <c r="AA17" s="336">
        <v>186</v>
      </c>
      <c r="AB17" s="301">
        <v>3</v>
      </c>
      <c r="AC17" s="378">
        <v>739.5584</v>
      </c>
      <c r="AD17" s="411">
        <v>10.4</v>
      </c>
    </row>
    <row r="18" spans="1:30" ht="24.75" customHeight="1">
      <c r="A18" s="488">
        <v>12</v>
      </c>
      <c r="B18" s="488" t="s">
        <v>611</v>
      </c>
      <c r="C18" s="488"/>
      <c r="D18" s="488" t="s">
        <v>150</v>
      </c>
      <c r="E18" s="488"/>
      <c r="F18" s="338">
        <v>98.732</v>
      </c>
      <c r="G18" s="338">
        <v>1.36</v>
      </c>
      <c r="H18" s="574">
        <f t="shared" si="0"/>
        <v>100.092</v>
      </c>
      <c r="I18" s="338">
        <v>8277</v>
      </c>
      <c r="J18" s="338">
        <v>99</v>
      </c>
      <c r="K18" s="338">
        <v>6140</v>
      </c>
      <c r="L18" s="338">
        <v>51</v>
      </c>
      <c r="M18" s="488">
        <f t="shared" si="1"/>
        <v>14417</v>
      </c>
      <c r="N18" s="578">
        <f t="shared" si="1"/>
        <v>150</v>
      </c>
      <c r="O18" s="338">
        <v>509</v>
      </c>
      <c r="P18" s="338">
        <v>524</v>
      </c>
      <c r="Q18" s="338"/>
      <c r="R18" s="338">
        <v>5</v>
      </c>
      <c r="S18" s="338">
        <v>1</v>
      </c>
      <c r="T18" s="338">
        <v>6</v>
      </c>
      <c r="U18" s="338">
        <v>256</v>
      </c>
      <c r="V18" s="338">
        <v>4</v>
      </c>
      <c r="W18" s="338">
        <v>14</v>
      </c>
      <c r="X18" s="338">
        <v>330</v>
      </c>
      <c r="Y18" s="338">
        <v>23</v>
      </c>
      <c r="Z18" s="338">
        <v>6</v>
      </c>
      <c r="AA18" s="338">
        <v>357</v>
      </c>
      <c r="AB18" s="305">
        <v>18</v>
      </c>
      <c r="AC18" s="378">
        <v>1556.9884</v>
      </c>
      <c r="AD18" s="411">
        <v>8.58</v>
      </c>
    </row>
    <row r="19" spans="1:30" ht="24.75" customHeight="1">
      <c r="A19" s="488">
        <v>13</v>
      </c>
      <c r="B19" s="488" t="s">
        <v>612</v>
      </c>
      <c r="C19" s="488"/>
      <c r="D19" s="488" t="s">
        <v>150</v>
      </c>
      <c r="E19" s="488"/>
      <c r="F19" s="336">
        <v>72.046</v>
      </c>
      <c r="G19" s="336">
        <v>0.69</v>
      </c>
      <c r="H19" s="574">
        <f t="shared" si="0"/>
        <v>72.736</v>
      </c>
      <c r="I19" s="336">
        <v>2579</v>
      </c>
      <c r="J19" s="605">
        <v>43</v>
      </c>
      <c r="K19" s="336">
        <v>1110</v>
      </c>
      <c r="L19" s="605">
        <v>9</v>
      </c>
      <c r="M19" s="488">
        <f t="shared" si="1"/>
        <v>3689</v>
      </c>
      <c r="N19" s="578">
        <f t="shared" si="1"/>
        <v>52</v>
      </c>
      <c r="O19" s="336">
        <v>156</v>
      </c>
      <c r="P19" s="336">
        <v>156</v>
      </c>
      <c r="Q19" s="336"/>
      <c r="R19" s="336">
        <v>5</v>
      </c>
      <c r="S19" s="336"/>
      <c r="T19" s="336">
        <v>5</v>
      </c>
      <c r="U19" s="336">
        <v>300</v>
      </c>
      <c r="V19" s="336">
        <v>1</v>
      </c>
      <c r="W19" s="336">
        <v>7</v>
      </c>
      <c r="X19" s="336">
        <v>42</v>
      </c>
      <c r="Y19" s="336">
        <v>3</v>
      </c>
      <c r="Z19" s="336"/>
      <c r="AA19" s="336">
        <v>99</v>
      </c>
      <c r="AB19" s="301">
        <v>6</v>
      </c>
      <c r="AC19" s="378">
        <v>363.1179</v>
      </c>
      <c r="AD19" s="411">
        <v>5.64</v>
      </c>
    </row>
    <row r="20" spans="1:30" ht="24.75" customHeight="1">
      <c r="A20" s="488">
        <v>14</v>
      </c>
      <c r="B20" s="488" t="s">
        <v>613</v>
      </c>
      <c r="C20" s="488"/>
      <c r="D20" s="488" t="s">
        <v>150</v>
      </c>
      <c r="E20" s="488"/>
      <c r="F20" s="338">
        <v>30.88</v>
      </c>
      <c r="G20" s="338">
        <v>11.01</v>
      </c>
      <c r="H20" s="574">
        <f t="shared" si="0"/>
        <v>41.89</v>
      </c>
      <c r="I20" s="338">
        <v>3486</v>
      </c>
      <c r="J20" s="338">
        <v>51</v>
      </c>
      <c r="K20" s="338">
        <v>9723</v>
      </c>
      <c r="L20" s="338">
        <v>54</v>
      </c>
      <c r="M20" s="488">
        <f t="shared" si="1"/>
        <v>13209</v>
      </c>
      <c r="N20" s="578">
        <f t="shared" si="1"/>
        <v>105</v>
      </c>
      <c r="O20" s="338">
        <v>333</v>
      </c>
      <c r="P20" s="338">
        <v>330</v>
      </c>
      <c r="Q20" s="338">
        <v>1</v>
      </c>
      <c r="R20" s="338">
        <v>13</v>
      </c>
      <c r="S20" s="338">
        <v>0</v>
      </c>
      <c r="T20" s="338">
        <f>Q20+R20+S20</f>
        <v>14</v>
      </c>
      <c r="U20" s="338"/>
      <c r="V20" s="338"/>
      <c r="W20" s="338"/>
      <c r="X20" s="338">
        <v>97</v>
      </c>
      <c r="Y20" s="338">
        <v>15</v>
      </c>
      <c r="Z20" s="338">
        <v>4</v>
      </c>
      <c r="AA20" s="338">
        <v>276</v>
      </c>
      <c r="AB20" s="305">
        <v>9</v>
      </c>
      <c r="AC20" s="378">
        <v>2075.0926</v>
      </c>
      <c r="AD20" s="411">
        <v>3.38</v>
      </c>
    </row>
    <row r="21" spans="1:30" ht="24.75" customHeight="1">
      <c r="A21" s="488">
        <v>15</v>
      </c>
      <c r="B21" s="488" t="s">
        <v>614</v>
      </c>
      <c r="C21" s="488"/>
      <c r="D21" s="488" t="s">
        <v>150</v>
      </c>
      <c r="E21" s="488"/>
      <c r="F21" s="338">
        <v>42.918</v>
      </c>
      <c r="G21" s="338">
        <v>2.204</v>
      </c>
      <c r="H21" s="574">
        <f t="shared" si="0"/>
        <v>45.122</v>
      </c>
      <c r="I21" s="338">
        <v>2994</v>
      </c>
      <c r="J21" s="338">
        <v>40</v>
      </c>
      <c r="K21" s="338">
        <v>1973</v>
      </c>
      <c r="L21" s="338">
        <v>17</v>
      </c>
      <c r="M21" s="488">
        <f t="shared" si="1"/>
        <v>4967</v>
      </c>
      <c r="N21" s="578">
        <f t="shared" si="1"/>
        <v>57</v>
      </c>
      <c r="O21" s="338">
        <v>221</v>
      </c>
      <c r="P21" s="338">
        <v>203</v>
      </c>
      <c r="Q21" s="338"/>
      <c r="R21" s="338">
        <v>3</v>
      </c>
      <c r="S21" s="338"/>
      <c r="T21" s="338">
        <v>3</v>
      </c>
      <c r="U21" s="338">
        <v>402</v>
      </c>
      <c r="V21" s="338">
        <v>5</v>
      </c>
      <c r="W21" s="338">
        <v>4</v>
      </c>
      <c r="X21" s="338">
        <v>62</v>
      </c>
      <c r="Y21" s="338">
        <v>5</v>
      </c>
      <c r="Z21" s="338">
        <v>17</v>
      </c>
      <c r="AA21" s="338">
        <v>183</v>
      </c>
      <c r="AB21" s="305"/>
      <c r="AC21" s="378">
        <v>731.9552</v>
      </c>
      <c r="AD21" s="411">
        <v>5.64</v>
      </c>
    </row>
    <row r="22" spans="1:30" ht="24.75" customHeight="1">
      <c r="A22" s="488">
        <v>16</v>
      </c>
      <c r="B22" s="578" t="s">
        <v>615</v>
      </c>
      <c r="C22" s="488"/>
      <c r="D22" s="488" t="s">
        <v>150</v>
      </c>
      <c r="E22" s="488"/>
      <c r="F22" s="336">
        <v>109</v>
      </c>
      <c r="G22" s="336">
        <v>12</v>
      </c>
      <c r="H22" s="574">
        <f t="shared" si="0"/>
        <v>121</v>
      </c>
      <c r="I22" s="336">
        <v>4375</v>
      </c>
      <c r="J22" s="336">
        <v>81</v>
      </c>
      <c r="K22" s="336">
        <v>5784</v>
      </c>
      <c r="L22" s="336">
        <v>45</v>
      </c>
      <c r="M22" s="488">
        <f t="shared" si="1"/>
        <v>10159</v>
      </c>
      <c r="N22" s="578">
        <f t="shared" si="1"/>
        <v>126</v>
      </c>
      <c r="O22" s="336">
        <v>378</v>
      </c>
      <c r="P22" s="336">
        <v>378</v>
      </c>
      <c r="Q22" s="336"/>
      <c r="R22" s="336">
        <v>6</v>
      </c>
      <c r="S22" s="336"/>
      <c r="T22" s="336">
        <v>6</v>
      </c>
      <c r="U22" s="336"/>
      <c r="V22" s="336"/>
      <c r="W22" s="336"/>
      <c r="X22" s="336">
        <v>126</v>
      </c>
      <c r="Y22" s="336">
        <v>40</v>
      </c>
      <c r="Z22" s="336">
        <v>48</v>
      </c>
      <c r="AA22" s="336">
        <v>339</v>
      </c>
      <c r="AB22" s="301"/>
      <c r="AC22" s="378">
        <v>1251.0398</v>
      </c>
      <c r="AD22" s="411">
        <v>8.86</v>
      </c>
    </row>
    <row r="23" spans="1:30" ht="24.75" customHeight="1">
      <c r="A23" s="488">
        <v>17</v>
      </c>
      <c r="B23" s="488" t="s">
        <v>616</v>
      </c>
      <c r="C23" s="488"/>
      <c r="D23" s="488" t="s">
        <v>150</v>
      </c>
      <c r="E23" s="488"/>
      <c r="F23" s="336">
        <v>48.6</v>
      </c>
      <c r="G23" s="336">
        <f>2.9+0.79</f>
        <v>3.69</v>
      </c>
      <c r="H23" s="574">
        <f t="shared" si="0"/>
        <v>52.29</v>
      </c>
      <c r="I23" s="336">
        <f>3951+80</f>
        <v>4031</v>
      </c>
      <c r="J23" s="336">
        <f>52+1</f>
        <v>53</v>
      </c>
      <c r="K23" s="336">
        <f>2413+925</f>
        <v>3338</v>
      </c>
      <c r="L23" s="336">
        <f>27+3</f>
        <v>30</v>
      </c>
      <c r="M23" s="488">
        <f t="shared" si="1"/>
        <v>7369</v>
      </c>
      <c r="N23" s="578">
        <f t="shared" si="1"/>
        <v>83</v>
      </c>
      <c r="O23" s="336">
        <f>264+12</f>
        <v>276</v>
      </c>
      <c r="P23" s="336">
        <f>252+12</f>
        <v>264</v>
      </c>
      <c r="Q23" s="336"/>
      <c r="R23" s="336">
        <v>3</v>
      </c>
      <c r="S23" s="336">
        <v>2</v>
      </c>
      <c r="T23" s="336">
        <v>5</v>
      </c>
      <c r="U23" s="336">
        <v>960</v>
      </c>
      <c r="V23" s="336">
        <v>1</v>
      </c>
      <c r="W23" s="336">
        <v>5688</v>
      </c>
      <c r="X23" s="336">
        <f>91+4</f>
        <v>95</v>
      </c>
      <c r="Y23" s="336">
        <f>20+3</f>
        <v>23</v>
      </c>
      <c r="Z23" s="336">
        <v>6</v>
      </c>
      <c r="AA23" s="336">
        <f>237+12</f>
        <v>249</v>
      </c>
      <c r="AB23" s="301">
        <v>6</v>
      </c>
      <c r="AC23" s="378">
        <v>1064.4313</v>
      </c>
      <c r="AD23" s="411">
        <v>4.29</v>
      </c>
    </row>
    <row r="24" spans="1:30" ht="24.75" customHeight="1">
      <c r="A24" s="488">
        <v>18</v>
      </c>
      <c r="B24" s="488" t="s">
        <v>617</v>
      </c>
      <c r="C24" s="488"/>
      <c r="D24" s="488" t="s">
        <v>150</v>
      </c>
      <c r="E24" s="488"/>
      <c r="F24" s="338">
        <v>75.564</v>
      </c>
      <c r="G24" s="338">
        <v>1.349</v>
      </c>
      <c r="H24" s="574">
        <f t="shared" si="0"/>
        <v>76.913</v>
      </c>
      <c r="I24" s="338">
        <v>3129</v>
      </c>
      <c r="J24" s="338">
        <v>57</v>
      </c>
      <c r="K24" s="338">
        <v>4056</v>
      </c>
      <c r="L24" s="338">
        <v>22</v>
      </c>
      <c r="M24" s="488">
        <f t="shared" si="1"/>
        <v>7185</v>
      </c>
      <c r="N24" s="578">
        <f t="shared" si="1"/>
        <v>79</v>
      </c>
      <c r="O24" s="338">
        <v>279</v>
      </c>
      <c r="P24" s="338">
        <v>267</v>
      </c>
      <c r="Q24" s="338">
        <v>3</v>
      </c>
      <c r="R24" s="338">
        <v>2</v>
      </c>
      <c r="S24" s="338"/>
      <c r="T24" s="338">
        <f>Q24+R24+S24</f>
        <v>5</v>
      </c>
      <c r="U24" s="338"/>
      <c r="V24" s="338"/>
      <c r="W24" s="338">
        <v>2</v>
      </c>
      <c r="X24" s="338">
        <v>77</v>
      </c>
      <c r="Y24" s="338">
        <v>8</v>
      </c>
      <c r="Z24" s="338"/>
      <c r="AA24" s="338">
        <v>192</v>
      </c>
      <c r="AB24" s="305"/>
      <c r="AC24" s="378">
        <v>523.0563</v>
      </c>
      <c r="AD24" s="411">
        <v>10.12</v>
      </c>
    </row>
    <row r="25" spans="1:30" ht="24.75" customHeight="1">
      <c r="A25" s="488">
        <v>19</v>
      </c>
      <c r="B25" s="488" t="s">
        <v>618</v>
      </c>
      <c r="C25" s="488"/>
      <c r="D25" s="488" t="s">
        <v>150</v>
      </c>
      <c r="E25" s="488"/>
      <c r="F25" s="336">
        <v>25.397</v>
      </c>
      <c r="G25" s="336">
        <v>1.3722</v>
      </c>
      <c r="H25" s="574">
        <f t="shared" si="0"/>
        <v>26.769199999999998</v>
      </c>
      <c r="I25" s="336">
        <v>2658</v>
      </c>
      <c r="J25" s="336">
        <v>29</v>
      </c>
      <c r="K25" s="336">
        <v>515</v>
      </c>
      <c r="L25" s="336">
        <v>6</v>
      </c>
      <c r="M25" s="488">
        <f t="shared" si="1"/>
        <v>3173</v>
      </c>
      <c r="N25" s="578">
        <f t="shared" si="1"/>
        <v>35</v>
      </c>
      <c r="O25" s="336">
        <v>108</v>
      </c>
      <c r="P25" s="336">
        <v>129</v>
      </c>
      <c r="Q25" s="336">
        <v>2</v>
      </c>
      <c r="R25" s="336">
        <v>1</v>
      </c>
      <c r="S25" s="336"/>
      <c r="T25" s="336">
        <v>3</v>
      </c>
      <c r="U25" s="336">
        <v>300</v>
      </c>
      <c r="V25" s="336">
        <v>1</v>
      </c>
      <c r="W25" s="336"/>
      <c r="X25" s="336">
        <v>35</v>
      </c>
      <c r="Y25" s="336">
        <v>2</v>
      </c>
      <c r="Z25" s="336"/>
      <c r="AA25" s="336">
        <v>81</v>
      </c>
      <c r="AB25" s="301"/>
      <c r="AC25" s="378">
        <v>542.3802</v>
      </c>
      <c r="AD25" s="411">
        <v>8.63</v>
      </c>
    </row>
    <row r="26" spans="1:30" ht="24.75" customHeight="1">
      <c r="A26" s="488">
        <v>20</v>
      </c>
      <c r="B26" s="579" t="s">
        <v>619</v>
      </c>
      <c r="C26" s="488"/>
      <c r="D26" s="488"/>
      <c r="E26" s="488" t="s">
        <v>150</v>
      </c>
      <c r="F26" s="336">
        <v>24.019</v>
      </c>
      <c r="G26" s="338"/>
      <c r="H26" s="574">
        <f t="shared" si="0"/>
        <v>24.019</v>
      </c>
      <c r="I26" s="336">
        <v>4234</v>
      </c>
      <c r="J26" s="336">
        <v>28</v>
      </c>
      <c r="K26" s="336">
        <v>2085</v>
      </c>
      <c r="L26" s="336">
        <v>13</v>
      </c>
      <c r="M26" s="488">
        <f t="shared" si="1"/>
        <v>6319</v>
      </c>
      <c r="N26" s="578">
        <f t="shared" si="1"/>
        <v>41</v>
      </c>
      <c r="O26" s="336">
        <v>129</v>
      </c>
      <c r="P26" s="336">
        <v>129</v>
      </c>
      <c r="Q26" s="338"/>
      <c r="R26" s="336">
        <v>3</v>
      </c>
      <c r="S26" s="338"/>
      <c r="T26" s="336">
        <v>3</v>
      </c>
      <c r="U26" s="336">
        <v>600</v>
      </c>
      <c r="V26" s="336">
        <v>2</v>
      </c>
      <c r="W26" s="338"/>
      <c r="X26" s="338">
        <v>40</v>
      </c>
      <c r="Y26" s="338"/>
      <c r="Z26" s="338">
        <v>34</v>
      </c>
      <c r="AA26" s="338">
        <v>114</v>
      </c>
      <c r="AB26" s="305"/>
      <c r="AC26" s="378">
        <v>645.5747</v>
      </c>
      <c r="AD26" s="411">
        <v>13.57</v>
      </c>
    </row>
    <row r="27" spans="1:30" ht="24.75" customHeight="1">
      <c r="A27" s="488">
        <v>21</v>
      </c>
      <c r="B27" s="578" t="s">
        <v>620</v>
      </c>
      <c r="C27" s="488"/>
      <c r="D27" s="488" t="s">
        <v>150</v>
      </c>
      <c r="E27" s="488"/>
      <c r="F27" s="338">
        <v>44.734</v>
      </c>
      <c r="G27" s="338">
        <v>2.442</v>
      </c>
      <c r="H27" s="574">
        <f t="shared" si="0"/>
        <v>47.176</v>
      </c>
      <c r="I27" s="338">
        <v>4747</v>
      </c>
      <c r="J27" s="338">
        <v>43</v>
      </c>
      <c r="K27" s="338">
        <v>1850</v>
      </c>
      <c r="L27" s="338">
        <v>18</v>
      </c>
      <c r="M27" s="488">
        <f t="shared" si="1"/>
        <v>6597</v>
      </c>
      <c r="N27" s="578">
        <f t="shared" si="1"/>
        <v>61</v>
      </c>
      <c r="O27" s="338">
        <v>183</v>
      </c>
      <c r="P27" s="338">
        <v>183</v>
      </c>
      <c r="Q27" s="338"/>
      <c r="R27" s="338">
        <v>3</v>
      </c>
      <c r="S27" s="338"/>
      <c r="T27" s="338">
        <v>3</v>
      </c>
      <c r="U27" s="338"/>
      <c r="V27" s="338"/>
      <c r="W27" s="338"/>
      <c r="X27" s="338">
        <v>61</v>
      </c>
      <c r="Y27" s="338">
        <v>5</v>
      </c>
      <c r="Z27" s="338">
        <v>61</v>
      </c>
      <c r="AA27" s="338">
        <v>183</v>
      </c>
      <c r="AB27" s="305">
        <v>6</v>
      </c>
      <c r="AC27" s="378">
        <v>787.5061</v>
      </c>
      <c r="AD27" s="411">
        <v>7.17</v>
      </c>
    </row>
    <row r="28" spans="1:30" ht="24.75" customHeight="1">
      <c r="A28" s="488">
        <v>22</v>
      </c>
      <c r="B28" s="578" t="s">
        <v>621</v>
      </c>
      <c r="C28" s="488"/>
      <c r="D28" s="488" t="s">
        <v>150</v>
      </c>
      <c r="E28" s="488"/>
      <c r="F28" s="340">
        <v>35.466</v>
      </c>
      <c r="G28" s="340">
        <v>4.906</v>
      </c>
      <c r="H28" s="574">
        <f t="shared" si="0"/>
        <v>40.372</v>
      </c>
      <c r="I28" s="340">
        <v>4229</v>
      </c>
      <c r="J28" s="340">
        <v>44</v>
      </c>
      <c r="K28" s="340">
        <v>3510</v>
      </c>
      <c r="L28" s="340">
        <v>24</v>
      </c>
      <c r="M28" s="488">
        <f t="shared" si="1"/>
        <v>7739</v>
      </c>
      <c r="N28" s="578">
        <f t="shared" si="1"/>
        <v>68</v>
      </c>
      <c r="O28" s="340">
        <v>252</v>
      </c>
      <c r="P28" s="340">
        <v>204</v>
      </c>
      <c r="Q28" s="340"/>
      <c r="R28" s="340">
        <v>3</v>
      </c>
      <c r="S28" s="340"/>
      <c r="T28" s="340">
        <f>SUM(Q28:S28)</f>
        <v>3</v>
      </c>
      <c r="U28" s="340"/>
      <c r="V28" s="340"/>
      <c r="W28" s="340"/>
      <c r="X28" s="340">
        <v>67</v>
      </c>
      <c r="Y28" s="340">
        <v>18</v>
      </c>
      <c r="Z28" s="340"/>
      <c r="AA28" s="340">
        <v>199</v>
      </c>
      <c r="AB28" s="354"/>
      <c r="AC28" s="378">
        <v>894.395</v>
      </c>
      <c r="AD28" s="411">
        <v>4.25</v>
      </c>
    </row>
    <row r="29" spans="1:30" ht="24.75" customHeight="1">
      <c r="A29" s="488">
        <v>23</v>
      </c>
      <c r="B29" s="488" t="s">
        <v>622</v>
      </c>
      <c r="C29" s="488"/>
      <c r="D29" s="488" t="s">
        <v>150</v>
      </c>
      <c r="E29" s="488"/>
      <c r="F29" s="339">
        <v>77.22</v>
      </c>
      <c r="G29" s="339">
        <v>3.3</v>
      </c>
      <c r="H29" s="574">
        <f t="shared" si="0"/>
        <v>80.52</v>
      </c>
      <c r="I29" s="339">
        <v>3585</v>
      </c>
      <c r="J29" s="339">
        <v>61</v>
      </c>
      <c r="K29" s="339">
        <v>1721</v>
      </c>
      <c r="L29" s="339">
        <v>13</v>
      </c>
      <c r="M29" s="488">
        <f t="shared" si="1"/>
        <v>5306</v>
      </c>
      <c r="N29" s="578">
        <f t="shared" si="1"/>
        <v>74</v>
      </c>
      <c r="O29" s="339">
        <v>273</v>
      </c>
      <c r="P29" s="339">
        <v>246</v>
      </c>
      <c r="Q29" s="339"/>
      <c r="R29" s="339">
        <v>4</v>
      </c>
      <c r="S29" s="339"/>
      <c r="T29" s="339">
        <v>4</v>
      </c>
      <c r="U29" s="339"/>
      <c r="V29" s="339"/>
      <c r="W29" s="339"/>
      <c r="X29" s="339">
        <v>74</v>
      </c>
      <c r="Y29" s="339">
        <v>3</v>
      </c>
      <c r="Z29" s="339">
        <v>32</v>
      </c>
      <c r="AA29" s="339">
        <v>144</v>
      </c>
      <c r="AB29" s="542">
        <v>6</v>
      </c>
      <c r="AC29" s="612">
        <v>459.8446</v>
      </c>
      <c r="AD29" s="488">
        <v>6.5</v>
      </c>
    </row>
    <row r="30" spans="1:30" ht="24.75" customHeight="1">
      <c r="A30" s="578">
        <v>24</v>
      </c>
      <c r="B30" s="578" t="s">
        <v>623</v>
      </c>
      <c r="C30" s="578"/>
      <c r="D30" s="578" t="s">
        <v>150</v>
      </c>
      <c r="E30" s="578"/>
      <c r="F30" s="340">
        <v>50.11</v>
      </c>
      <c r="G30" s="340">
        <v>0.48</v>
      </c>
      <c r="H30" s="574">
        <f t="shared" si="0"/>
        <v>50.589999999999996</v>
      </c>
      <c r="I30" s="340">
        <v>320</v>
      </c>
      <c r="J30" s="340">
        <v>8</v>
      </c>
      <c r="K30" s="340">
        <v>125</v>
      </c>
      <c r="L30" s="340">
        <v>1</v>
      </c>
      <c r="M30" s="488">
        <f t="shared" si="1"/>
        <v>445</v>
      </c>
      <c r="N30" s="578">
        <f t="shared" si="1"/>
        <v>9</v>
      </c>
      <c r="O30" s="340">
        <v>33</v>
      </c>
      <c r="P30" s="340">
        <v>30</v>
      </c>
      <c r="Q30" s="340"/>
      <c r="R30" s="340"/>
      <c r="S30" s="340"/>
      <c r="T30" s="340"/>
      <c r="U30" s="340"/>
      <c r="V30" s="340"/>
      <c r="W30" s="340"/>
      <c r="X30" s="340">
        <v>9</v>
      </c>
      <c r="Y30" s="340">
        <v>1</v>
      </c>
      <c r="Z30" s="340"/>
      <c r="AA30" s="340">
        <v>15</v>
      </c>
      <c r="AB30" s="354"/>
      <c r="AC30" s="378">
        <v>125.6467</v>
      </c>
      <c r="AD30" s="411">
        <v>8.82</v>
      </c>
    </row>
    <row r="31" spans="1:30" ht="24.75" customHeight="1">
      <c r="A31" s="488">
        <v>25</v>
      </c>
      <c r="B31" s="488" t="s">
        <v>624</v>
      </c>
      <c r="C31" s="488"/>
      <c r="D31" s="488" t="s">
        <v>150</v>
      </c>
      <c r="E31" s="488"/>
      <c r="F31" s="339">
        <v>16.743</v>
      </c>
      <c r="G31" s="339">
        <v>0.145</v>
      </c>
      <c r="H31" s="574">
        <f t="shared" si="0"/>
        <v>16.887999999999998</v>
      </c>
      <c r="I31" s="339">
        <v>933</v>
      </c>
      <c r="J31" s="339">
        <v>15</v>
      </c>
      <c r="K31" s="339">
        <v>113</v>
      </c>
      <c r="L31" s="339">
        <v>2</v>
      </c>
      <c r="M31" s="488">
        <f t="shared" si="1"/>
        <v>1046</v>
      </c>
      <c r="N31" s="578">
        <f t="shared" si="1"/>
        <v>17</v>
      </c>
      <c r="O31" s="339">
        <v>63</v>
      </c>
      <c r="P31" s="339">
        <v>57</v>
      </c>
      <c r="Q31" s="339"/>
      <c r="R31" s="339">
        <v>1</v>
      </c>
      <c r="S31" s="339"/>
      <c r="T31" s="339">
        <v>1</v>
      </c>
      <c r="U31" s="339"/>
      <c r="V31" s="339"/>
      <c r="W31" s="339"/>
      <c r="X31" s="339">
        <v>17</v>
      </c>
      <c r="Y31" s="339"/>
      <c r="Z31" s="339"/>
      <c r="AA31" s="339">
        <v>33</v>
      </c>
      <c r="AB31" s="542"/>
      <c r="AC31" s="378">
        <v>120.9335</v>
      </c>
      <c r="AD31" s="411">
        <v>4.5</v>
      </c>
    </row>
    <row r="32" spans="1:30" ht="24.75" customHeight="1">
      <c r="A32" s="488">
        <v>26</v>
      </c>
      <c r="B32" s="488" t="s">
        <v>625</v>
      </c>
      <c r="C32" s="488"/>
      <c r="D32" s="488" t="s">
        <v>150</v>
      </c>
      <c r="E32" s="488"/>
      <c r="F32" s="340">
        <v>30.066</v>
      </c>
      <c r="G32" s="340">
        <v>0.215</v>
      </c>
      <c r="H32" s="574">
        <f t="shared" si="0"/>
        <v>30.281</v>
      </c>
      <c r="I32" s="340">
        <v>1065</v>
      </c>
      <c r="J32" s="340">
        <v>23</v>
      </c>
      <c r="K32" s="340">
        <v>180</v>
      </c>
      <c r="L32" s="340">
        <v>4</v>
      </c>
      <c r="M32" s="488">
        <f t="shared" si="1"/>
        <v>1245</v>
      </c>
      <c r="N32" s="578">
        <f t="shared" si="1"/>
        <v>27</v>
      </c>
      <c r="O32" s="340">
        <v>87</v>
      </c>
      <c r="P32" s="340">
        <v>93</v>
      </c>
      <c r="Q32" s="340"/>
      <c r="R32" s="340">
        <v>1</v>
      </c>
      <c r="S32" s="340"/>
      <c r="T32" s="340">
        <v>1</v>
      </c>
      <c r="U32" s="340"/>
      <c r="V32" s="340"/>
      <c r="W32" s="340"/>
      <c r="X32" s="340">
        <v>27</v>
      </c>
      <c r="Y32" s="340"/>
      <c r="Z32" s="340"/>
      <c r="AA32" s="340">
        <v>57</v>
      </c>
      <c r="AB32" s="354"/>
      <c r="AC32" s="378">
        <v>124.3201</v>
      </c>
      <c r="AD32" s="411">
        <v>6.6</v>
      </c>
    </row>
    <row r="33" spans="1:30" ht="24.75" customHeight="1">
      <c r="A33" s="488">
        <v>27</v>
      </c>
      <c r="B33" s="488" t="s">
        <v>626</v>
      </c>
      <c r="C33" s="488"/>
      <c r="D33" s="488" t="s">
        <v>150</v>
      </c>
      <c r="E33" s="488"/>
      <c r="F33" s="340">
        <v>27.449</v>
      </c>
      <c r="G33" s="340"/>
      <c r="H33" s="574">
        <f t="shared" si="0"/>
        <v>27.449</v>
      </c>
      <c r="I33" s="340">
        <v>1263</v>
      </c>
      <c r="J33" s="340">
        <v>23</v>
      </c>
      <c r="K33" s="340">
        <v>240</v>
      </c>
      <c r="L33" s="340">
        <v>3</v>
      </c>
      <c r="M33" s="488">
        <f t="shared" si="1"/>
        <v>1503</v>
      </c>
      <c r="N33" s="578">
        <f t="shared" si="1"/>
        <v>26</v>
      </c>
      <c r="O33" s="340">
        <v>96</v>
      </c>
      <c r="P33" s="340">
        <v>87</v>
      </c>
      <c r="Q33" s="340"/>
      <c r="R33" s="340">
        <v>2</v>
      </c>
      <c r="S33" s="340"/>
      <c r="T33" s="340">
        <v>2</v>
      </c>
      <c r="U33" s="340"/>
      <c r="V33" s="340"/>
      <c r="W33" s="340"/>
      <c r="X33" s="340">
        <v>26</v>
      </c>
      <c r="Y33" s="340">
        <v>1</v>
      </c>
      <c r="Z33" s="340"/>
      <c r="AA33" s="340">
        <v>42</v>
      </c>
      <c r="AB33" s="354"/>
      <c r="AC33" s="378">
        <v>180.6382</v>
      </c>
      <c r="AD33" s="411">
        <v>3.84</v>
      </c>
    </row>
    <row r="34" spans="1:30" ht="24.75" customHeight="1">
      <c r="A34" s="580" t="s">
        <v>122</v>
      </c>
      <c r="B34" s="581"/>
      <c r="C34" s="582">
        <v>8</v>
      </c>
      <c r="D34" s="582">
        <v>18</v>
      </c>
      <c r="E34" s="582">
        <v>1</v>
      </c>
      <c r="F34" s="583">
        <f aca="true" t="shared" si="2" ref="F34:S34">SUM(F7:F33)</f>
        <v>945.8980000000001</v>
      </c>
      <c r="G34" s="584">
        <f t="shared" si="2"/>
        <v>67.5182</v>
      </c>
      <c r="H34" s="584">
        <f t="shared" si="0"/>
        <v>1013.4162000000001</v>
      </c>
      <c r="I34" s="606">
        <f t="shared" si="2"/>
        <v>100446</v>
      </c>
      <c r="J34" s="606">
        <f t="shared" si="2"/>
        <v>949</v>
      </c>
      <c r="K34" s="606">
        <f t="shared" si="2"/>
        <v>101117</v>
      </c>
      <c r="L34" s="606">
        <f t="shared" si="2"/>
        <v>567</v>
      </c>
      <c r="M34" s="488">
        <f t="shared" si="1"/>
        <v>201563</v>
      </c>
      <c r="N34" s="578">
        <f t="shared" si="1"/>
        <v>1516</v>
      </c>
      <c r="O34" s="606">
        <f t="shared" si="2"/>
        <v>5008</v>
      </c>
      <c r="P34" s="606">
        <f t="shared" si="2"/>
        <v>5095</v>
      </c>
      <c r="Q34" s="606">
        <f t="shared" si="2"/>
        <v>6</v>
      </c>
      <c r="R34" s="606">
        <f t="shared" si="2"/>
        <v>87</v>
      </c>
      <c r="S34" s="606">
        <f t="shared" si="2"/>
        <v>3</v>
      </c>
      <c r="T34" s="582">
        <f>Q34+R34+S34</f>
        <v>96</v>
      </c>
      <c r="U34" s="606">
        <f>SUM(U7:U33)</f>
        <v>2818</v>
      </c>
      <c r="V34" s="606">
        <f aca="true" t="shared" si="3" ref="V34:AC34">SUM(V7:V33)</f>
        <v>14</v>
      </c>
      <c r="W34" s="606">
        <f t="shared" si="3"/>
        <v>39305</v>
      </c>
      <c r="X34" s="606">
        <f t="shared" si="3"/>
        <v>3424</v>
      </c>
      <c r="Y34" s="606">
        <f t="shared" si="3"/>
        <v>236</v>
      </c>
      <c r="Z34" s="606">
        <f t="shared" si="3"/>
        <v>237</v>
      </c>
      <c r="AA34" s="606">
        <f t="shared" si="3"/>
        <v>4273</v>
      </c>
      <c r="AB34" s="606">
        <f t="shared" si="3"/>
        <v>102</v>
      </c>
      <c r="AC34" s="613">
        <f t="shared" si="3"/>
        <v>26022.300700000003</v>
      </c>
      <c r="AD34" s="606"/>
    </row>
    <row r="35" spans="1:30" ht="24.75" customHeight="1">
      <c r="A35" s="585">
        <v>28</v>
      </c>
      <c r="B35" s="585" t="s">
        <v>627</v>
      </c>
      <c r="C35" s="585"/>
      <c r="D35" s="585" t="s">
        <v>150</v>
      </c>
      <c r="E35" s="585"/>
      <c r="F35" s="336">
        <v>9.996</v>
      </c>
      <c r="G35" s="336">
        <v>1.173</v>
      </c>
      <c r="H35" s="336">
        <f t="shared" si="0"/>
        <v>11.169</v>
      </c>
      <c r="I35" s="336">
        <v>245</v>
      </c>
      <c r="J35" s="450">
        <v>8</v>
      </c>
      <c r="K35" s="336">
        <v>130</v>
      </c>
      <c r="L35" s="450">
        <v>2</v>
      </c>
      <c r="M35" s="336">
        <f>I35+K35</f>
        <v>375</v>
      </c>
      <c r="N35" s="336">
        <f>J35+L35</f>
        <v>10</v>
      </c>
      <c r="O35" s="336">
        <v>45</v>
      </c>
      <c r="P35" s="336">
        <v>30</v>
      </c>
      <c r="Q35" s="336"/>
      <c r="R35" s="336"/>
      <c r="S35" s="336"/>
      <c r="T35" s="336"/>
      <c r="U35" s="336"/>
      <c r="V35" s="336"/>
      <c r="W35" s="336">
        <v>3</v>
      </c>
      <c r="X35" s="336">
        <v>7</v>
      </c>
      <c r="Y35" s="336"/>
      <c r="Z35" s="336"/>
      <c r="AA35" s="336">
        <v>6</v>
      </c>
      <c r="AB35" s="301"/>
      <c r="AC35" s="492">
        <v>38.3232</v>
      </c>
      <c r="AD35" s="614">
        <v>4.37</v>
      </c>
    </row>
    <row r="36" spans="1:30" ht="24.75" customHeight="1">
      <c r="A36" s="488">
        <v>29</v>
      </c>
      <c r="B36" s="488" t="s">
        <v>628</v>
      </c>
      <c r="C36" s="488"/>
      <c r="D36" s="488" t="s">
        <v>150</v>
      </c>
      <c r="E36" s="488"/>
      <c r="F36" s="336">
        <v>81.971</v>
      </c>
      <c r="G36" s="336">
        <v>2.155</v>
      </c>
      <c r="H36" s="336">
        <f aca="true" t="shared" si="4" ref="H36:H55">F36+G36</f>
        <v>84.126</v>
      </c>
      <c r="I36" s="336">
        <v>1793</v>
      </c>
      <c r="J36" s="336">
        <v>52</v>
      </c>
      <c r="K36" s="336">
        <v>450</v>
      </c>
      <c r="L36" s="336">
        <v>7</v>
      </c>
      <c r="M36" s="336">
        <f aca="true" t="shared" si="5" ref="M36:N55">I36+K36</f>
        <v>2243</v>
      </c>
      <c r="N36" s="336">
        <f t="shared" si="5"/>
        <v>59</v>
      </c>
      <c r="O36" s="336">
        <v>255</v>
      </c>
      <c r="P36" s="336">
        <v>183</v>
      </c>
      <c r="Q36" s="336"/>
      <c r="R36" s="336">
        <v>1</v>
      </c>
      <c r="S36" s="336">
        <v>1</v>
      </c>
      <c r="T36" s="336">
        <f aca="true" t="shared" si="6" ref="T36:T49">Q36+R36+S36</f>
        <v>2</v>
      </c>
      <c r="U36" s="336"/>
      <c r="V36" s="336"/>
      <c r="W36" s="336">
        <v>15</v>
      </c>
      <c r="X36" s="336">
        <v>35</v>
      </c>
      <c r="Y36" s="336">
        <v>1</v>
      </c>
      <c r="Z36" s="336"/>
      <c r="AA36" s="336">
        <v>30</v>
      </c>
      <c r="AB36" s="301"/>
      <c r="AC36" s="492">
        <v>147.8467</v>
      </c>
      <c r="AD36" s="614">
        <v>8.12</v>
      </c>
    </row>
    <row r="37" spans="1:30" ht="24.75" customHeight="1">
      <c r="A37" s="585">
        <v>30</v>
      </c>
      <c r="B37" s="488" t="s">
        <v>629</v>
      </c>
      <c r="C37" s="488"/>
      <c r="D37" s="488" t="s">
        <v>150</v>
      </c>
      <c r="E37" s="488"/>
      <c r="F37" s="336">
        <v>63.373</v>
      </c>
      <c r="G37" s="336">
        <v>0.603</v>
      </c>
      <c r="H37" s="336">
        <f t="shared" si="4"/>
        <v>63.976</v>
      </c>
      <c r="I37" s="336">
        <v>1373</v>
      </c>
      <c r="J37" s="605">
        <v>39</v>
      </c>
      <c r="K37" s="336">
        <v>815</v>
      </c>
      <c r="L37" s="605">
        <v>5</v>
      </c>
      <c r="M37" s="336">
        <f t="shared" si="5"/>
        <v>2188</v>
      </c>
      <c r="N37" s="336">
        <f t="shared" si="5"/>
        <v>44</v>
      </c>
      <c r="O37" s="336">
        <v>182</v>
      </c>
      <c r="P37" s="336">
        <v>168</v>
      </c>
      <c r="Q37" s="336">
        <v>1</v>
      </c>
      <c r="R37" s="336"/>
      <c r="S37" s="336">
        <v>1</v>
      </c>
      <c r="T37" s="336">
        <f t="shared" si="6"/>
        <v>2</v>
      </c>
      <c r="U37" s="336"/>
      <c r="V37" s="336"/>
      <c r="W37" s="336">
        <v>10</v>
      </c>
      <c r="X37" s="336">
        <v>35</v>
      </c>
      <c r="Y37" s="336">
        <v>3</v>
      </c>
      <c r="Z37" s="336"/>
      <c r="AA37" s="336">
        <v>12</v>
      </c>
      <c r="AB37" s="301"/>
      <c r="AC37" s="492">
        <v>95.6372</v>
      </c>
      <c r="AD37" s="614">
        <v>8.91</v>
      </c>
    </row>
    <row r="38" spans="1:30" ht="24.75" customHeight="1">
      <c r="A38" s="488">
        <v>31</v>
      </c>
      <c r="B38" s="488" t="s">
        <v>630</v>
      </c>
      <c r="C38" s="488"/>
      <c r="D38" s="488"/>
      <c r="E38" s="488" t="s">
        <v>150</v>
      </c>
      <c r="F38" s="586">
        <v>1.45</v>
      </c>
      <c r="G38" s="574"/>
      <c r="H38" s="336">
        <f t="shared" si="4"/>
        <v>1.45</v>
      </c>
      <c r="I38" s="488"/>
      <c r="J38" s="488"/>
      <c r="K38" s="488">
        <v>4600</v>
      </c>
      <c r="L38" s="488">
        <v>4</v>
      </c>
      <c r="M38" s="336">
        <f t="shared" si="5"/>
        <v>4600</v>
      </c>
      <c r="N38" s="336">
        <f t="shared" si="5"/>
        <v>4</v>
      </c>
      <c r="O38" s="488">
        <v>12</v>
      </c>
      <c r="P38" s="488">
        <v>12</v>
      </c>
      <c r="Q38" s="488"/>
      <c r="R38" s="488"/>
      <c r="S38" s="488"/>
      <c r="T38" s="488">
        <f t="shared" si="6"/>
        <v>0</v>
      </c>
      <c r="U38" s="488"/>
      <c r="V38" s="488"/>
      <c r="W38" s="488"/>
      <c r="X38" s="488">
        <v>1</v>
      </c>
      <c r="Y38" s="488">
        <v>1</v>
      </c>
      <c r="Z38" s="488"/>
      <c r="AA38" s="488">
        <v>1</v>
      </c>
      <c r="AB38" s="488"/>
      <c r="AC38" s="492">
        <v>4.023</v>
      </c>
      <c r="AD38" s="615"/>
    </row>
    <row r="39" spans="1:30" ht="24.75" customHeight="1">
      <c r="A39" s="585">
        <v>32</v>
      </c>
      <c r="B39" s="587" t="s">
        <v>631</v>
      </c>
      <c r="C39" s="488"/>
      <c r="D39" s="488"/>
      <c r="E39" s="488" t="s">
        <v>150</v>
      </c>
      <c r="F39" s="586">
        <v>0.725</v>
      </c>
      <c r="G39" s="574"/>
      <c r="H39" s="336">
        <f t="shared" si="4"/>
        <v>0.725</v>
      </c>
      <c r="I39" s="488"/>
      <c r="J39" s="488"/>
      <c r="K39" s="488">
        <v>4600</v>
      </c>
      <c r="L39" s="488">
        <v>4</v>
      </c>
      <c r="M39" s="336">
        <f t="shared" si="5"/>
        <v>4600</v>
      </c>
      <c r="N39" s="336">
        <f t="shared" si="5"/>
        <v>4</v>
      </c>
      <c r="O39" s="488">
        <v>12</v>
      </c>
      <c r="P39" s="488">
        <v>12</v>
      </c>
      <c r="Q39" s="488"/>
      <c r="R39" s="488"/>
      <c r="S39" s="488"/>
      <c r="T39" s="488">
        <f t="shared" si="6"/>
        <v>0</v>
      </c>
      <c r="U39" s="488"/>
      <c r="V39" s="488"/>
      <c r="W39" s="488"/>
      <c r="X39" s="488">
        <v>1</v>
      </c>
      <c r="Y39" s="488">
        <v>1</v>
      </c>
      <c r="Z39" s="488"/>
      <c r="AA39" s="488">
        <v>1</v>
      </c>
      <c r="AB39" s="488"/>
      <c r="AC39" s="492">
        <v>382.858</v>
      </c>
      <c r="AD39" s="616"/>
    </row>
    <row r="40" spans="1:30" ht="24.75" customHeight="1">
      <c r="A40" s="488">
        <v>33</v>
      </c>
      <c r="B40" s="488" t="s">
        <v>632</v>
      </c>
      <c r="C40" s="488"/>
      <c r="D40" s="488" t="s">
        <v>150</v>
      </c>
      <c r="E40" s="488"/>
      <c r="F40" s="586">
        <v>19.19</v>
      </c>
      <c r="G40" s="574">
        <v>2.232</v>
      </c>
      <c r="H40" s="336">
        <f t="shared" si="4"/>
        <v>21.422</v>
      </c>
      <c r="I40" s="488">
        <v>941</v>
      </c>
      <c r="J40" s="488">
        <v>11</v>
      </c>
      <c r="K40" s="488">
        <v>1760</v>
      </c>
      <c r="L40" s="488">
        <v>7</v>
      </c>
      <c r="M40" s="336">
        <f t="shared" si="5"/>
        <v>2701</v>
      </c>
      <c r="N40" s="336">
        <f t="shared" si="5"/>
        <v>18</v>
      </c>
      <c r="O40" s="488">
        <v>60</v>
      </c>
      <c r="P40" s="488">
        <v>60</v>
      </c>
      <c r="Q40" s="488"/>
      <c r="R40" s="488">
        <v>1</v>
      </c>
      <c r="S40" s="488"/>
      <c r="T40" s="488">
        <f t="shared" si="6"/>
        <v>1</v>
      </c>
      <c r="U40" s="488">
        <v>300</v>
      </c>
      <c r="V40" s="488">
        <v>1</v>
      </c>
      <c r="W40" s="488"/>
      <c r="X40" s="488">
        <v>4</v>
      </c>
      <c r="Y40" s="488">
        <v>2</v>
      </c>
      <c r="Z40" s="488">
        <v>6</v>
      </c>
      <c r="AA40" s="488">
        <v>12</v>
      </c>
      <c r="AB40" s="488"/>
      <c r="AC40" s="492">
        <v>245.207</v>
      </c>
      <c r="AD40" s="614"/>
    </row>
    <row r="41" spans="1:30" ht="24.75" customHeight="1">
      <c r="A41" s="585">
        <v>34</v>
      </c>
      <c r="B41" s="488" t="s">
        <v>633</v>
      </c>
      <c r="C41" s="488"/>
      <c r="D41" s="488"/>
      <c r="E41" s="488" t="s">
        <v>150</v>
      </c>
      <c r="F41" s="586">
        <v>9.29</v>
      </c>
      <c r="G41" s="574"/>
      <c r="H41" s="336">
        <f t="shared" si="4"/>
        <v>9.29</v>
      </c>
      <c r="I41" s="488"/>
      <c r="J41" s="488"/>
      <c r="K41" s="488"/>
      <c r="L41" s="488"/>
      <c r="M41" s="336">
        <f t="shared" si="5"/>
        <v>0</v>
      </c>
      <c r="N41" s="336">
        <f t="shared" si="5"/>
        <v>0</v>
      </c>
      <c r="O41" s="488"/>
      <c r="P41" s="488"/>
      <c r="Q41" s="488"/>
      <c r="R41" s="488"/>
      <c r="S41" s="488"/>
      <c r="T41" s="488">
        <f t="shared" si="6"/>
        <v>0</v>
      </c>
      <c r="U41" s="488"/>
      <c r="V41" s="488"/>
      <c r="W41" s="488"/>
      <c r="X41" s="488">
        <v>1</v>
      </c>
      <c r="Y41" s="488">
        <v>1</v>
      </c>
      <c r="Z41" s="488"/>
      <c r="AA41" s="488">
        <v>3</v>
      </c>
      <c r="AB41" s="488"/>
      <c r="AC41" s="612">
        <v>401.16</v>
      </c>
      <c r="AD41" s="615"/>
    </row>
    <row r="42" spans="1:30" ht="24.75" customHeight="1">
      <c r="A42" s="488">
        <v>35</v>
      </c>
      <c r="B42" s="488" t="s">
        <v>634</v>
      </c>
      <c r="C42" s="488"/>
      <c r="D42" s="488"/>
      <c r="E42" s="488" t="s">
        <v>150</v>
      </c>
      <c r="F42" s="586"/>
      <c r="G42" s="574">
        <v>3.2</v>
      </c>
      <c r="H42" s="336">
        <f t="shared" si="4"/>
        <v>3.2</v>
      </c>
      <c r="I42" s="488"/>
      <c r="J42" s="488"/>
      <c r="K42" s="488">
        <v>2220</v>
      </c>
      <c r="L42" s="488">
        <v>4</v>
      </c>
      <c r="M42" s="336">
        <f t="shared" si="5"/>
        <v>2220</v>
      </c>
      <c r="N42" s="336">
        <f t="shared" si="5"/>
        <v>4</v>
      </c>
      <c r="O42" s="488">
        <v>3</v>
      </c>
      <c r="P42" s="488">
        <v>12</v>
      </c>
      <c r="Q42" s="488">
        <v>2</v>
      </c>
      <c r="R42" s="488"/>
      <c r="S42" s="488"/>
      <c r="T42" s="488">
        <f t="shared" si="6"/>
        <v>2</v>
      </c>
      <c r="U42" s="488"/>
      <c r="V42" s="488"/>
      <c r="W42" s="488"/>
      <c r="X42" s="488">
        <v>4</v>
      </c>
      <c r="Y42" s="488"/>
      <c r="Z42" s="488">
        <v>1</v>
      </c>
      <c r="AA42" s="488">
        <v>24</v>
      </c>
      <c r="AB42" s="488">
        <v>3</v>
      </c>
      <c r="AC42" s="612">
        <v>109.048</v>
      </c>
      <c r="AD42" s="615"/>
    </row>
    <row r="43" spans="1:30" ht="24.75" customHeight="1">
      <c r="A43" s="585">
        <v>36</v>
      </c>
      <c r="B43" s="488" t="s">
        <v>635</v>
      </c>
      <c r="C43" s="488"/>
      <c r="D43" s="488"/>
      <c r="E43" s="488" t="s">
        <v>150</v>
      </c>
      <c r="F43" s="586">
        <v>2.09</v>
      </c>
      <c r="G43" s="574">
        <v>2.3</v>
      </c>
      <c r="H43" s="336">
        <f t="shared" si="4"/>
        <v>4.39</v>
      </c>
      <c r="I43" s="488"/>
      <c r="J43" s="488"/>
      <c r="K43" s="488">
        <v>2120</v>
      </c>
      <c r="L43" s="488">
        <v>7</v>
      </c>
      <c r="M43" s="336">
        <f t="shared" si="5"/>
        <v>2120</v>
      </c>
      <c r="N43" s="336">
        <f t="shared" si="5"/>
        <v>7</v>
      </c>
      <c r="O43" s="488">
        <v>6</v>
      </c>
      <c r="P43" s="488">
        <v>12</v>
      </c>
      <c r="Q43" s="488">
        <v>1</v>
      </c>
      <c r="R43" s="488"/>
      <c r="S43" s="488"/>
      <c r="T43" s="488">
        <f t="shared" si="6"/>
        <v>1</v>
      </c>
      <c r="U43" s="488"/>
      <c r="V43" s="488"/>
      <c r="W43" s="488"/>
      <c r="X43" s="488">
        <v>10</v>
      </c>
      <c r="Y43" s="488"/>
      <c r="Z43" s="488">
        <v>1</v>
      </c>
      <c r="AA43" s="488">
        <v>9</v>
      </c>
      <c r="AB43" s="488">
        <v>3</v>
      </c>
      <c r="AC43" s="612">
        <v>232.3943</v>
      </c>
      <c r="AD43" s="615"/>
    </row>
    <row r="44" spans="1:30" ht="24.75" customHeight="1">
      <c r="A44" s="488">
        <v>37</v>
      </c>
      <c r="B44" s="488" t="s">
        <v>636</v>
      </c>
      <c r="C44" s="488"/>
      <c r="D44" s="488"/>
      <c r="E44" s="488" t="s">
        <v>150</v>
      </c>
      <c r="F44" s="586"/>
      <c r="G44" s="574">
        <v>1.5</v>
      </c>
      <c r="H44" s="336">
        <f t="shared" si="4"/>
        <v>1.5</v>
      </c>
      <c r="I44" s="488"/>
      <c r="J44" s="488"/>
      <c r="K44" s="488">
        <v>500</v>
      </c>
      <c r="L44" s="488">
        <v>2</v>
      </c>
      <c r="M44" s="336">
        <f t="shared" si="5"/>
        <v>500</v>
      </c>
      <c r="N44" s="336">
        <f t="shared" si="5"/>
        <v>2</v>
      </c>
      <c r="O44" s="488">
        <v>3</v>
      </c>
      <c r="P44" s="488">
        <v>6</v>
      </c>
      <c r="Q44" s="488">
        <v>1</v>
      </c>
      <c r="R44" s="488"/>
      <c r="S44" s="488"/>
      <c r="T44" s="488">
        <f t="shared" si="6"/>
        <v>1</v>
      </c>
      <c r="U44" s="488"/>
      <c r="V44" s="488"/>
      <c r="W44" s="488"/>
      <c r="X44" s="488">
        <v>2</v>
      </c>
      <c r="Y44" s="488">
        <v>2</v>
      </c>
      <c r="Z44" s="488">
        <v>1</v>
      </c>
      <c r="AA44" s="488">
        <v>6</v>
      </c>
      <c r="AB44" s="488">
        <v>3</v>
      </c>
      <c r="AC44" s="612">
        <v>43.815</v>
      </c>
      <c r="AD44" s="615"/>
    </row>
    <row r="45" spans="1:30" ht="24.75" customHeight="1">
      <c r="A45" s="585">
        <v>38</v>
      </c>
      <c r="B45" s="488" t="s">
        <v>637</v>
      </c>
      <c r="C45" s="488"/>
      <c r="D45" s="488"/>
      <c r="E45" s="488" t="s">
        <v>150</v>
      </c>
      <c r="F45" s="586"/>
      <c r="G45" s="574">
        <v>3.3</v>
      </c>
      <c r="H45" s="336">
        <f t="shared" si="4"/>
        <v>3.3</v>
      </c>
      <c r="I45" s="488"/>
      <c r="J45" s="488"/>
      <c r="K45" s="488">
        <v>800</v>
      </c>
      <c r="L45" s="488">
        <v>1</v>
      </c>
      <c r="M45" s="336">
        <f t="shared" si="5"/>
        <v>800</v>
      </c>
      <c r="N45" s="336">
        <f t="shared" si="5"/>
        <v>1</v>
      </c>
      <c r="O45" s="488">
        <v>3</v>
      </c>
      <c r="P45" s="488">
        <v>6</v>
      </c>
      <c r="Q45" s="488"/>
      <c r="R45" s="488">
        <v>1</v>
      </c>
      <c r="S45" s="488"/>
      <c r="T45" s="488">
        <f t="shared" si="6"/>
        <v>1</v>
      </c>
      <c r="U45" s="488"/>
      <c r="V45" s="488"/>
      <c r="W45" s="488"/>
      <c r="X45" s="488">
        <v>1</v>
      </c>
      <c r="Y45" s="488">
        <v>1</v>
      </c>
      <c r="Z45" s="488">
        <v>1</v>
      </c>
      <c r="AA45" s="488">
        <v>6</v>
      </c>
      <c r="AB45" s="488">
        <v>3</v>
      </c>
      <c r="AC45" s="612">
        <v>869.4</v>
      </c>
      <c r="AD45" s="615"/>
    </row>
    <row r="46" spans="1:30" ht="24.75" customHeight="1">
      <c r="A46" s="488">
        <v>39</v>
      </c>
      <c r="B46" s="587" t="s">
        <v>638</v>
      </c>
      <c r="C46" s="488"/>
      <c r="D46" s="488"/>
      <c r="E46" s="488" t="s">
        <v>150</v>
      </c>
      <c r="F46" s="586">
        <v>30.777</v>
      </c>
      <c r="G46" s="574"/>
      <c r="H46" s="336">
        <f t="shared" si="4"/>
        <v>30.777</v>
      </c>
      <c r="I46" s="488">
        <v>370</v>
      </c>
      <c r="J46" s="488">
        <v>12</v>
      </c>
      <c r="K46" s="488"/>
      <c r="L46" s="488"/>
      <c r="M46" s="336">
        <f t="shared" si="5"/>
        <v>370</v>
      </c>
      <c r="N46" s="336">
        <f t="shared" si="5"/>
        <v>12</v>
      </c>
      <c r="O46" s="488"/>
      <c r="P46" s="488"/>
      <c r="Q46" s="488"/>
      <c r="R46" s="488">
        <v>1</v>
      </c>
      <c r="S46" s="488"/>
      <c r="T46" s="488">
        <f t="shared" si="6"/>
        <v>1</v>
      </c>
      <c r="U46" s="488"/>
      <c r="V46" s="488"/>
      <c r="W46" s="488"/>
      <c r="X46" s="605">
        <v>12</v>
      </c>
      <c r="Y46" s="605"/>
      <c r="Z46" s="605">
        <v>12</v>
      </c>
      <c r="AA46" s="605">
        <v>9</v>
      </c>
      <c r="AB46" s="488">
        <v>3</v>
      </c>
      <c r="AC46" s="612"/>
      <c r="AD46" s="615"/>
    </row>
    <row r="47" spans="1:30" ht="24.75" customHeight="1">
      <c r="A47" s="585">
        <v>40</v>
      </c>
      <c r="B47" s="587" t="s">
        <v>88</v>
      </c>
      <c r="C47" s="488"/>
      <c r="D47" s="488"/>
      <c r="E47" s="488" t="s">
        <v>150</v>
      </c>
      <c r="F47" s="586"/>
      <c r="G47" s="574"/>
      <c r="H47" s="336">
        <f t="shared" si="4"/>
        <v>0</v>
      </c>
      <c r="I47" s="488"/>
      <c r="J47" s="488"/>
      <c r="K47" s="488"/>
      <c r="L47" s="488"/>
      <c r="M47" s="336">
        <f t="shared" si="5"/>
        <v>0</v>
      </c>
      <c r="N47" s="336">
        <f t="shared" si="5"/>
        <v>0</v>
      </c>
      <c r="O47" s="488"/>
      <c r="P47" s="488"/>
      <c r="Q47" s="488"/>
      <c r="R47" s="488"/>
      <c r="S47" s="488"/>
      <c r="T47" s="488">
        <f t="shared" si="6"/>
        <v>0</v>
      </c>
      <c r="U47" s="488"/>
      <c r="V47" s="488"/>
      <c r="W47" s="488"/>
      <c r="X47" s="488"/>
      <c r="Y47" s="488"/>
      <c r="Z47" s="488"/>
      <c r="AA47" s="488"/>
      <c r="AB47" s="488"/>
      <c r="AC47" s="612">
        <v>726.852</v>
      </c>
      <c r="AD47" s="615"/>
    </row>
    <row r="48" spans="1:30" ht="24.75" customHeight="1">
      <c r="A48" s="488">
        <v>41</v>
      </c>
      <c r="B48" s="488" t="s">
        <v>639</v>
      </c>
      <c r="C48" s="488"/>
      <c r="D48" s="378" t="s">
        <v>150</v>
      </c>
      <c r="E48" s="488"/>
      <c r="F48" s="586">
        <v>3.383</v>
      </c>
      <c r="G48" s="574"/>
      <c r="H48" s="336">
        <f t="shared" si="4"/>
        <v>3.383</v>
      </c>
      <c r="I48" s="488"/>
      <c r="J48" s="488"/>
      <c r="K48" s="488"/>
      <c r="L48" s="488"/>
      <c r="M48" s="336">
        <f t="shared" si="5"/>
        <v>0</v>
      </c>
      <c r="N48" s="336">
        <f t="shared" si="5"/>
        <v>0</v>
      </c>
      <c r="O48" s="488"/>
      <c r="P48" s="488"/>
      <c r="Q48" s="488"/>
      <c r="R48" s="488">
        <v>1</v>
      </c>
      <c r="S48" s="488"/>
      <c r="T48" s="488">
        <f t="shared" si="6"/>
        <v>1</v>
      </c>
      <c r="U48" s="488"/>
      <c r="V48" s="488"/>
      <c r="W48" s="488"/>
      <c r="X48" s="488"/>
      <c r="Y48" s="488"/>
      <c r="Z48" s="488"/>
      <c r="AA48" s="488"/>
      <c r="AB48" s="488"/>
      <c r="AC48" s="612"/>
      <c r="AD48" s="615"/>
    </row>
    <row r="49" spans="1:30" ht="24.75" customHeight="1">
      <c r="A49" s="585">
        <v>42</v>
      </c>
      <c r="B49" s="488" t="s">
        <v>640</v>
      </c>
      <c r="C49" s="488"/>
      <c r="D49" s="378" t="s">
        <v>150</v>
      </c>
      <c r="E49" s="488"/>
      <c r="F49" s="586">
        <v>0.58</v>
      </c>
      <c r="G49" s="574"/>
      <c r="H49" s="336">
        <f t="shared" si="4"/>
        <v>0.58</v>
      </c>
      <c r="I49" s="488"/>
      <c r="J49" s="488"/>
      <c r="K49" s="488"/>
      <c r="L49" s="488"/>
      <c r="M49" s="336">
        <f t="shared" si="5"/>
        <v>0</v>
      </c>
      <c r="N49" s="336">
        <f t="shared" si="5"/>
        <v>0</v>
      </c>
      <c r="O49" s="488"/>
      <c r="P49" s="488"/>
      <c r="Q49" s="488"/>
      <c r="R49" s="488">
        <v>1</v>
      </c>
      <c r="S49" s="488"/>
      <c r="T49" s="488">
        <f t="shared" si="6"/>
        <v>1</v>
      </c>
      <c r="U49" s="488"/>
      <c r="V49" s="488"/>
      <c r="W49" s="488"/>
      <c r="X49" s="488"/>
      <c r="Y49" s="488"/>
      <c r="Z49" s="488"/>
      <c r="AA49" s="488"/>
      <c r="AB49" s="488"/>
      <c r="AC49" s="612"/>
      <c r="AD49" s="615"/>
    </row>
    <row r="50" spans="1:30" ht="24.75" customHeight="1">
      <c r="A50" s="488">
        <v>43</v>
      </c>
      <c r="B50" s="588" t="s">
        <v>641</v>
      </c>
      <c r="C50" s="378" t="s">
        <v>150</v>
      </c>
      <c r="D50" s="488"/>
      <c r="E50" s="488"/>
      <c r="F50" s="589">
        <v>1.957</v>
      </c>
      <c r="G50" s="574"/>
      <c r="H50" s="336">
        <f t="shared" si="4"/>
        <v>1.957</v>
      </c>
      <c r="I50" s="488"/>
      <c r="J50" s="488"/>
      <c r="K50" s="488"/>
      <c r="L50" s="488"/>
      <c r="M50" s="336">
        <f t="shared" si="5"/>
        <v>0</v>
      </c>
      <c r="N50" s="336">
        <f t="shared" si="5"/>
        <v>0</v>
      </c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612"/>
      <c r="AD50" s="615"/>
    </row>
    <row r="51" spans="1:30" ht="24.75" customHeight="1">
      <c r="A51" s="585">
        <v>44</v>
      </c>
      <c r="B51" s="590" t="s">
        <v>642</v>
      </c>
      <c r="C51" s="378" t="s">
        <v>150</v>
      </c>
      <c r="D51" s="488"/>
      <c r="E51" s="488"/>
      <c r="F51" s="589">
        <v>1.957</v>
      </c>
      <c r="G51" s="574"/>
      <c r="H51" s="336">
        <f t="shared" si="4"/>
        <v>1.957</v>
      </c>
      <c r="I51" s="488"/>
      <c r="J51" s="488"/>
      <c r="K51" s="488"/>
      <c r="L51" s="488"/>
      <c r="M51" s="336">
        <f t="shared" si="5"/>
        <v>0</v>
      </c>
      <c r="N51" s="336">
        <f t="shared" si="5"/>
        <v>0</v>
      </c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612"/>
      <c r="AD51" s="615"/>
    </row>
    <row r="52" spans="1:30" ht="24.75" customHeight="1">
      <c r="A52" s="488">
        <v>45</v>
      </c>
      <c r="B52" s="588" t="s">
        <v>643</v>
      </c>
      <c r="C52" s="378" t="s">
        <v>150</v>
      </c>
      <c r="D52" s="488"/>
      <c r="E52" s="488"/>
      <c r="F52" s="589">
        <v>2.643</v>
      </c>
      <c r="G52" s="574"/>
      <c r="H52" s="336">
        <f t="shared" si="4"/>
        <v>2.643</v>
      </c>
      <c r="I52" s="488"/>
      <c r="J52" s="488"/>
      <c r="K52" s="488"/>
      <c r="L52" s="488"/>
      <c r="M52" s="336">
        <f t="shared" si="5"/>
        <v>0</v>
      </c>
      <c r="N52" s="336">
        <f t="shared" si="5"/>
        <v>0</v>
      </c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612"/>
      <c r="AD52" s="615"/>
    </row>
    <row r="53" spans="1:30" ht="24.75" customHeight="1">
      <c r="A53" s="585">
        <v>46</v>
      </c>
      <c r="B53" s="588" t="s">
        <v>644</v>
      </c>
      <c r="C53" s="488"/>
      <c r="D53" s="488"/>
      <c r="E53" s="378" t="s">
        <v>150</v>
      </c>
      <c r="F53" s="589">
        <v>2.47</v>
      </c>
      <c r="G53" s="574"/>
      <c r="H53" s="336">
        <f t="shared" si="4"/>
        <v>2.47</v>
      </c>
      <c r="I53" s="488"/>
      <c r="J53" s="488"/>
      <c r="K53" s="488"/>
      <c r="L53" s="488"/>
      <c r="M53" s="336">
        <f t="shared" si="5"/>
        <v>0</v>
      </c>
      <c r="N53" s="336">
        <f t="shared" si="5"/>
        <v>0</v>
      </c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612"/>
      <c r="AD53" s="615"/>
    </row>
    <row r="54" spans="1:30" ht="24.75" customHeight="1">
      <c r="A54" s="488">
        <v>47</v>
      </c>
      <c r="B54" s="588" t="s">
        <v>645</v>
      </c>
      <c r="C54" s="488"/>
      <c r="D54" s="378" t="s">
        <v>150</v>
      </c>
      <c r="E54" s="488"/>
      <c r="F54" s="589">
        <v>3.67</v>
      </c>
      <c r="G54" s="574"/>
      <c r="H54" s="336">
        <f t="shared" si="4"/>
        <v>3.67</v>
      </c>
      <c r="I54" s="488"/>
      <c r="J54" s="488"/>
      <c r="K54" s="488">
        <f>315+160+160</f>
        <v>635</v>
      </c>
      <c r="L54" s="488">
        <v>3</v>
      </c>
      <c r="M54" s="336">
        <f t="shared" si="5"/>
        <v>635</v>
      </c>
      <c r="N54" s="336">
        <f t="shared" si="5"/>
        <v>3</v>
      </c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612"/>
      <c r="AD54" s="615"/>
    </row>
    <row r="55" spans="1:30" ht="24.75" customHeight="1">
      <c r="A55" s="591" t="s">
        <v>122</v>
      </c>
      <c r="B55" s="569"/>
      <c r="C55" s="378">
        <v>3</v>
      </c>
      <c r="D55" s="378">
        <v>6</v>
      </c>
      <c r="E55" s="378">
        <v>11</v>
      </c>
      <c r="F55" s="575">
        <f aca="true" t="shared" si="7" ref="F55:L55">SUM(F35:F54)</f>
        <v>235.52199999999996</v>
      </c>
      <c r="G55" s="474">
        <f t="shared" si="7"/>
        <v>16.463</v>
      </c>
      <c r="H55" s="336">
        <f t="shared" si="4"/>
        <v>251.98499999999996</v>
      </c>
      <c r="I55" s="477">
        <f t="shared" si="7"/>
        <v>4722</v>
      </c>
      <c r="J55" s="477">
        <f t="shared" si="7"/>
        <v>122</v>
      </c>
      <c r="K55" s="477">
        <f t="shared" si="7"/>
        <v>18630</v>
      </c>
      <c r="L55" s="477">
        <f t="shared" si="7"/>
        <v>46</v>
      </c>
      <c r="M55" s="336">
        <f t="shared" si="5"/>
        <v>23352</v>
      </c>
      <c r="N55" s="336">
        <f t="shared" si="5"/>
        <v>168</v>
      </c>
      <c r="O55" s="477">
        <f aca="true" t="shared" si="8" ref="O55:Q55">SUM(O35:O46)</f>
        <v>581</v>
      </c>
      <c r="P55" s="477">
        <f t="shared" si="8"/>
        <v>501</v>
      </c>
      <c r="Q55" s="477">
        <f t="shared" si="8"/>
        <v>5</v>
      </c>
      <c r="R55" s="477">
        <f aca="true" t="shared" si="9" ref="R55:T55">SUM(R35:R49)</f>
        <v>6</v>
      </c>
      <c r="S55" s="477">
        <f t="shared" si="9"/>
        <v>2</v>
      </c>
      <c r="T55" s="477">
        <f t="shared" si="9"/>
        <v>13</v>
      </c>
      <c r="U55" s="477">
        <f aca="true" t="shared" si="10" ref="U55:AB55">SUM(U35:U46)</f>
        <v>300</v>
      </c>
      <c r="V55" s="477">
        <f t="shared" si="10"/>
        <v>1</v>
      </c>
      <c r="W55" s="477">
        <f t="shared" si="10"/>
        <v>28</v>
      </c>
      <c r="X55" s="477">
        <f t="shared" si="10"/>
        <v>113</v>
      </c>
      <c r="Y55" s="477">
        <f t="shared" si="10"/>
        <v>12</v>
      </c>
      <c r="Z55" s="477">
        <f t="shared" si="10"/>
        <v>22</v>
      </c>
      <c r="AA55" s="477">
        <f t="shared" si="10"/>
        <v>119</v>
      </c>
      <c r="AB55" s="477">
        <f t="shared" si="10"/>
        <v>15</v>
      </c>
      <c r="AC55" s="474">
        <f>SUM(AC35:AC54)</f>
        <v>3296.5643999999998</v>
      </c>
      <c r="AD55" s="411"/>
    </row>
    <row r="56" spans="1:30" ht="24.75" customHeight="1">
      <c r="A56" s="592" t="s">
        <v>209</v>
      </c>
      <c r="B56" s="593"/>
      <c r="C56" s="390">
        <f>C34+C55</f>
        <v>11</v>
      </c>
      <c r="D56" s="390">
        <f>D34+D55</f>
        <v>24</v>
      </c>
      <c r="E56" s="390">
        <f aca="true" t="shared" si="11" ref="E56:AB56">E55+E34</f>
        <v>12</v>
      </c>
      <c r="F56" s="594">
        <f t="shared" si="11"/>
        <v>1181.42</v>
      </c>
      <c r="G56" s="595">
        <f t="shared" si="11"/>
        <v>83.9812</v>
      </c>
      <c r="H56" s="595">
        <f t="shared" si="11"/>
        <v>1265.4012</v>
      </c>
      <c r="I56" s="607">
        <f t="shared" si="11"/>
        <v>105168</v>
      </c>
      <c r="J56" s="608">
        <f t="shared" si="11"/>
        <v>1071</v>
      </c>
      <c r="K56" s="608">
        <f t="shared" si="11"/>
        <v>119747</v>
      </c>
      <c r="L56" s="608">
        <f t="shared" si="11"/>
        <v>613</v>
      </c>
      <c r="M56" s="607">
        <f t="shared" si="11"/>
        <v>224915</v>
      </c>
      <c r="N56" s="607">
        <f t="shared" si="11"/>
        <v>1684</v>
      </c>
      <c r="O56" s="607">
        <f t="shared" si="11"/>
        <v>5589</v>
      </c>
      <c r="P56" s="607">
        <f t="shared" si="11"/>
        <v>5596</v>
      </c>
      <c r="Q56" s="607">
        <f t="shared" si="11"/>
        <v>11</v>
      </c>
      <c r="R56" s="607">
        <f t="shared" si="11"/>
        <v>93</v>
      </c>
      <c r="S56" s="607">
        <f t="shared" si="11"/>
        <v>5</v>
      </c>
      <c r="T56" s="607">
        <v>108</v>
      </c>
      <c r="U56" s="607">
        <f t="shared" si="11"/>
        <v>3118</v>
      </c>
      <c r="V56" s="607">
        <f t="shared" si="11"/>
        <v>15</v>
      </c>
      <c r="W56" s="607">
        <f t="shared" si="11"/>
        <v>39333</v>
      </c>
      <c r="X56" s="607">
        <f t="shared" si="11"/>
        <v>3537</v>
      </c>
      <c r="Y56" s="607">
        <f t="shared" si="11"/>
        <v>248</v>
      </c>
      <c r="Z56" s="607">
        <f t="shared" si="11"/>
        <v>259</v>
      </c>
      <c r="AA56" s="607">
        <f t="shared" si="11"/>
        <v>4392</v>
      </c>
      <c r="AB56" s="607">
        <f t="shared" si="11"/>
        <v>117</v>
      </c>
      <c r="AC56" s="617">
        <f>AC34+AC55</f>
        <v>29318.865100000003</v>
      </c>
      <c r="AD56" s="618">
        <v>5.49</v>
      </c>
    </row>
    <row r="57" spans="1:30" ht="15">
      <c r="A57" s="592"/>
      <c r="B57" s="395" t="s">
        <v>210</v>
      </c>
      <c r="C57" s="395"/>
      <c r="D57" s="395"/>
      <c r="E57" s="395"/>
      <c r="F57" s="596"/>
      <c r="G57" s="597"/>
      <c r="H57" s="598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598"/>
      <c r="AD57" s="593"/>
    </row>
    <row r="58" spans="1:30" ht="15">
      <c r="A58" s="599"/>
      <c r="B58" s="399"/>
      <c r="C58" s="399"/>
      <c r="D58" s="399"/>
      <c r="E58" s="399"/>
      <c r="F58" s="600"/>
      <c r="G58" s="601"/>
      <c r="H58" s="602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602"/>
      <c r="AD58" s="619"/>
    </row>
    <row r="59" spans="1:30" ht="15">
      <c r="A59" s="565"/>
      <c r="B59" s="565"/>
      <c r="C59" s="565"/>
      <c r="D59" s="565" t="s">
        <v>176</v>
      </c>
      <c r="E59" s="565"/>
      <c r="F59" s="566"/>
      <c r="G59" s="603" t="s">
        <v>646</v>
      </c>
      <c r="H59" s="568"/>
      <c r="I59" s="565"/>
      <c r="J59" s="565"/>
      <c r="K59" s="565"/>
      <c r="L59" s="565"/>
      <c r="M59" s="565"/>
      <c r="N59" s="565"/>
      <c r="O59" s="565" t="s">
        <v>177</v>
      </c>
      <c r="P59" s="565"/>
      <c r="Q59" s="565" t="s">
        <v>647</v>
      </c>
      <c r="R59" s="565"/>
      <c r="S59" s="565"/>
      <c r="T59" s="565"/>
      <c r="U59" s="565"/>
      <c r="V59" s="565"/>
      <c r="W59" s="565"/>
      <c r="X59" s="565"/>
      <c r="Y59" s="565"/>
      <c r="Z59" s="565" t="s">
        <v>211</v>
      </c>
      <c r="AA59" s="565"/>
      <c r="AB59" s="359" t="s">
        <v>648</v>
      </c>
      <c r="AC59" s="568"/>
      <c r="AD59" s="565"/>
    </row>
  </sheetData>
  <sheetProtection/>
  <mergeCells count="23">
    <mergeCell ref="A1:AD1"/>
    <mergeCell ref="C3:E3"/>
    <mergeCell ref="F3:H3"/>
    <mergeCell ref="I3:N3"/>
    <mergeCell ref="Q3:T3"/>
    <mergeCell ref="U3:V3"/>
    <mergeCell ref="W3:Y3"/>
    <mergeCell ref="AA3:AB3"/>
    <mergeCell ref="A34:B34"/>
    <mergeCell ref="A55:B55"/>
    <mergeCell ref="A56:B56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1" sqref="A1:AE1"/>
    </sheetView>
  </sheetViews>
  <sheetFormatPr defaultColWidth="9.00390625" defaultRowHeight="14.25"/>
  <cols>
    <col min="1" max="1" width="9.00390625" style="294" customWidth="1"/>
    <col min="2" max="2" width="14.25390625" style="294" customWidth="1"/>
    <col min="3" max="16384" width="9.00390625" style="294" customWidth="1"/>
  </cols>
  <sheetData>
    <row r="1" spans="1:30" ht="21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466"/>
      <c r="X1" s="466"/>
      <c r="Y1" s="466"/>
      <c r="Z1" s="466"/>
      <c r="AA1" s="466"/>
      <c r="AB1" s="466"/>
      <c r="AC1" s="332"/>
      <c r="AD1" s="332"/>
    </row>
    <row r="2" spans="1:29" ht="15">
      <c r="A2" s="294" t="s">
        <v>98</v>
      </c>
      <c r="G2" s="539"/>
      <c r="I2" s="539"/>
      <c r="J2" s="539"/>
      <c r="V2" s="294" t="s">
        <v>464</v>
      </c>
      <c r="W2" s="447"/>
      <c r="X2" s="447"/>
      <c r="Y2" s="447"/>
      <c r="Z2" s="447"/>
      <c r="AA2" s="447"/>
      <c r="AB2" s="447" t="s">
        <v>101</v>
      </c>
      <c r="AC2" s="557"/>
    </row>
    <row r="3" spans="1:30" ht="15">
      <c r="A3" s="333" t="s">
        <v>102</v>
      </c>
      <c r="B3" s="334" t="s">
        <v>103</v>
      </c>
      <c r="C3" s="362" t="s">
        <v>104</v>
      </c>
      <c r="D3" s="362"/>
      <c r="E3" s="362"/>
      <c r="F3" s="363" t="s">
        <v>105</v>
      </c>
      <c r="G3" s="362"/>
      <c r="H3" s="362"/>
      <c r="I3" s="362" t="s">
        <v>106</v>
      </c>
      <c r="J3" s="362"/>
      <c r="K3" s="362"/>
      <c r="L3" s="362"/>
      <c r="M3" s="362"/>
      <c r="N3" s="362"/>
      <c r="O3" s="361" t="s">
        <v>107</v>
      </c>
      <c r="P3" s="361" t="s">
        <v>108</v>
      </c>
      <c r="Q3" s="386" t="s">
        <v>109</v>
      </c>
      <c r="R3" s="407"/>
      <c r="S3" s="407"/>
      <c r="T3" s="363"/>
      <c r="U3" s="362" t="s">
        <v>110</v>
      </c>
      <c r="V3" s="362"/>
      <c r="W3" s="386" t="s">
        <v>111</v>
      </c>
      <c r="X3" s="407"/>
      <c r="Y3" s="363"/>
      <c r="Z3" s="361" t="s">
        <v>112</v>
      </c>
      <c r="AA3" s="362" t="s">
        <v>113</v>
      </c>
      <c r="AB3" s="362"/>
      <c r="AC3" s="558" t="s">
        <v>114</v>
      </c>
      <c r="AD3" s="361" t="s">
        <v>115</v>
      </c>
    </row>
    <row r="4" spans="1:30" ht="15">
      <c r="A4" s="337"/>
      <c r="B4" s="334"/>
      <c r="C4" s="362" t="s">
        <v>116</v>
      </c>
      <c r="D4" s="362" t="s">
        <v>117</v>
      </c>
      <c r="E4" s="362" t="s">
        <v>118</v>
      </c>
      <c r="F4" s="365" t="s">
        <v>119</v>
      </c>
      <c r="G4" s="366"/>
      <c r="H4" s="366"/>
      <c r="I4" s="362" t="s">
        <v>120</v>
      </c>
      <c r="J4" s="362"/>
      <c r="K4" s="362" t="s">
        <v>121</v>
      </c>
      <c r="L4" s="362"/>
      <c r="M4" s="362" t="s">
        <v>122</v>
      </c>
      <c r="N4" s="362"/>
      <c r="O4" s="364"/>
      <c r="P4" s="400" t="s">
        <v>123</v>
      </c>
      <c r="Q4" s="361"/>
      <c r="R4" s="361"/>
      <c r="S4" s="361"/>
      <c r="T4" s="361"/>
      <c r="U4" s="362" t="s">
        <v>124</v>
      </c>
      <c r="V4" s="362"/>
      <c r="W4" s="361" t="s">
        <v>125</v>
      </c>
      <c r="X4" s="361" t="s">
        <v>126</v>
      </c>
      <c r="Y4" s="361" t="s">
        <v>126</v>
      </c>
      <c r="Z4" s="364" t="s">
        <v>127</v>
      </c>
      <c r="AA4" s="362" t="s">
        <v>128</v>
      </c>
      <c r="AB4" s="362"/>
      <c r="AC4" s="545" t="s">
        <v>129</v>
      </c>
      <c r="AD4" s="367" t="s">
        <v>130</v>
      </c>
    </row>
    <row r="5" spans="1:30" ht="15">
      <c r="A5" s="337"/>
      <c r="B5" s="334"/>
      <c r="C5" s="362"/>
      <c r="D5" s="362"/>
      <c r="E5" s="362"/>
      <c r="F5" s="365"/>
      <c r="G5" s="366"/>
      <c r="H5" s="366"/>
      <c r="I5" s="362"/>
      <c r="J5" s="362"/>
      <c r="K5" s="362"/>
      <c r="L5" s="362"/>
      <c r="M5" s="362"/>
      <c r="N5" s="362"/>
      <c r="O5" s="367" t="s">
        <v>131</v>
      </c>
      <c r="P5" s="396" t="s">
        <v>132</v>
      </c>
      <c r="Q5" s="364"/>
      <c r="R5" s="364" t="s">
        <v>133</v>
      </c>
      <c r="S5" s="364"/>
      <c r="T5" s="364"/>
      <c r="U5" s="362"/>
      <c r="V5" s="362"/>
      <c r="W5" s="364"/>
      <c r="X5" s="364"/>
      <c r="Y5" s="364"/>
      <c r="Z5" s="367" t="s">
        <v>134</v>
      </c>
      <c r="AA5" s="362"/>
      <c r="AB5" s="362"/>
      <c r="AC5" s="558" t="s">
        <v>135</v>
      </c>
      <c r="AD5" s="408" t="s">
        <v>136</v>
      </c>
    </row>
    <row r="6" spans="1:30" ht="15">
      <c r="A6" s="338" t="s">
        <v>137</v>
      </c>
      <c r="B6" s="334"/>
      <c r="C6" s="362"/>
      <c r="D6" s="362"/>
      <c r="E6" s="362"/>
      <c r="F6" s="363" t="s">
        <v>120</v>
      </c>
      <c r="G6" s="540" t="s">
        <v>121</v>
      </c>
      <c r="H6" s="362" t="s">
        <v>122</v>
      </c>
      <c r="I6" s="540" t="s">
        <v>138</v>
      </c>
      <c r="J6" s="540" t="s">
        <v>139</v>
      </c>
      <c r="K6" s="362" t="s">
        <v>138</v>
      </c>
      <c r="L6" s="362" t="s">
        <v>139</v>
      </c>
      <c r="M6" s="362" t="s">
        <v>138</v>
      </c>
      <c r="N6" s="362" t="s">
        <v>139</v>
      </c>
      <c r="O6" s="362" t="s">
        <v>128</v>
      </c>
      <c r="P6" s="362" t="s">
        <v>128</v>
      </c>
      <c r="Q6" s="409" t="s">
        <v>140</v>
      </c>
      <c r="R6" s="367" t="s">
        <v>141</v>
      </c>
      <c r="S6" s="367" t="s">
        <v>142</v>
      </c>
      <c r="T6" s="367" t="s">
        <v>122</v>
      </c>
      <c r="U6" s="362" t="s">
        <v>138</v>
      </c>
      <c r="V6" s="362" t="s">
        <v>139</v>
      </c>
      <c r="W6" s="367"/>
      <c r="X6" s="367" t="s">
        <v>143</v>
      </c>
      <c r="Y6" s="367" t="s">
        <v>144</v>
      </c>
      <c r="Z6" s="362" t="s">
        <v>145</v>
      </c>
      <c r="AA6" s="366" t="s">
        <v>146</v>
      </c>
      <c r="AB6" s="366" t="s">
        <v>147</v>
      </c>
      <c r="AC6" s="545" t="s">
        <v>148</v>
      </c>
      <c r="AD6" s="409"/>
    </row>
    <row r="7" spans="1:30" ht="30" customHeight="1">
      <c r="A7" s="541">
        <v>1</v>
      </c>
      <c r="B7" s="299" t="s">
        <v>649</v>
      </c>
      <c r="C7" s="378">
        <v>1</v>
      </c>
      <c r="D7" s="378"/>
      <c r="E7" s="542"/>
      <c r="F7" s="379">
        <v>13.254</v>
      </c>
      <c r="G7" s="543">
        <v>3.772</v>
      </c>
      <c r="H7" s="543">
        <f>F7+G7</f>
        <v>17.026</v>
      </c>
      <c r="I7" s="543">
        <v>3590</v>
      </c>
      <c r="J7" s="543">
        <v>22</v>
      </c>
      <c r="K7" s="543">
        <v>7746</v>
      </c>
      <c r="L7" s="543">
        <v>33</v>
      </c>
      <c r="M7" s="543">
        <f>I7+K7</f>
        <v>11336</v>
      </c>
      <c r="N7" s="543">
        <f>J7+L7</f>
        <v>55</v>
      </c>
      <c r="O7" s="379">
        <v>249</v>
      </c>
      <c r="P7" s="379">
        <v>225</v>
      </c>
      <c r="Q7" s="379">
        <v>0</v>
      </c>
      <c r="R7" s="379">
        <v>3</v>
      </c>
      <c r="S7" s="379">
        <v>0</v>
      </c>
      <c r="T7" s="379">
        <v>3</v>
      </c>
      <c r="U7" s="379">
        <v>0</v>
      </c>
      <c r="V7" s="379">
        <v>0</v>
      </c>
      <c r="W7" s="379">
        <v>1565</v>
      </c>
      <c r="X7" s="379">
        <v>511</v>
      </c>
      <c r="Y7" s="379"/>
      <c r="Z7" s="379">
        <v>3</v>
      </c>
      <c r="AA7" s="379">
        <v>146</v>
      </c>
      <c r="AB7" s="379"/>
      <c r="AC7" s="545">
        <v>1159.2653</v>
      </c>
      <c r="AD7" s="379">
        <v>3.28</v>
      </c>
    </row>
    <row r="8" spans="1:30" ht="30" customHeight="1">
      <c r="A8" s="299">
        <v>2</v>
      </c>
      <c r="B8" s="299" t="s">
        <v>650</v>
      </c>
      <c r="C8" s="378">
        <v>1</v>
      </c>
      <c r="D8" s="378"/>
      <c r="E8" s="354"/>
      <c r="F8" s="379">
        <v>9.131</v>
      </c>
      <c r="G8" s="544">
        <v>2.114</v>
      </c>
      <c r="H8" s="543">
        <f aca="true" t="shared" si="0" ref="H8:H48">F8+G8</f>
        <v>11.245000000000001</v>
      </c>
      <c r="I8" s="544">
        <v>4123</v>
      </c>
      <c r="J8" s="544">
        <v>29</v>
      </c>
      <c r="K8" s="544">
        <v>5139</v>
      </c>
      <c r="L8" s="544">
        <v>28</v>
      </c>
      <c r="M8" s="543">
        <f aca="true" t="shared" si="1" ref="M8:N48">I8+K8</f>
        <v>9262</v>
      </c>
      <c r="N8" s="543">
        <f t="shared" si="1"/>
        <v>57</v>
      </c>
      <c r="O8" s="378">
        <v>319</v>
      </c>
      <c r="P8" s="378">
        <v>210</v>
      </c>
      <c r="Q8" s="378">
        <v>0</v>
      </c>
      <c r="R8" s="378">
        <v>2</v>
      </c>
      <c r="S8" s="378">
        <v>0</v>
      </c>
      <c r="T8" s="378">
        <v>2</v>
      </c>
      <c r="U8" s="378">
        <v>0</v>
      </c>
      <c r="V8" s="378">
        <v>0</v>
      </c>
      <c r="W8" s="378">
        <v>133</v>
      </c>
      <c r="X8" s="378">
        <v>124</v>
      </c>
      <c r="Y8" s="378"/>
      <c r="Z8" s="378"/>
      <c r="AA8" s="378">
        <v>182</v>
      </c>
      <c r="AB8" s="378"/>
      <c r="AC8" s="475">
        <v>1454.4846</v>
      </c>
      <c r="AD8" s="378">
        <v>6.34</v>
      </c>
    </row>
    <row r="9" spans="1:30" ht="30" customHeight="1">
      <c r="A9" s="299">
        <v>3</v>
      </c>
      <c r="B9" s="299" t="s">
        <v>651</v>
      </c>
      <c r="C9" s="378">
        <v>1</v>
      </c>
      <c r="D9" s="378"/>
      <c r="E9" s="354"/>
      <c r="F9" s="379">
        <v>6.74</v>
      </c>
      <c r="G9" s="544">
        <v>2.603</v>
      </c>
      <c r="H9" s="543">
        <f t="shared" si="0"/>
        <v>9.343</v>
      </c>
      <c r="I9" s="544">
        <v>410</v>
      </c>
      <c r="J9" s="544">
        <v>8</v>
      </c>
      <c r="K9" s="544">
        <v>4835</v>
      </c>
      <c r="L9" s="544">
        <v>13</v>
      </c>
      <c r="M9" s="543">
        <f t="shared" si="1"/>
        <v>5245</v>
      </c>
      <c r="N9" s="543">
        <f t="shared" si="1"/>
        <v>21</v>
      </c>
      <c r="O9" s="378">
        <v>39</v>
      </c>
      <c r="P9" s="378">
        <v>42</v>
      </c>
      <c r="Q9" s="378">
        <v>0</v>
      </c>
      <c r="R9" s="378">
        <v>1</v>
      </c>
      <c r="S9" s="378">
        <v>0</v>
      </c>
      <c r="T9" s="378">
        <v>1</v>
      </c>
      <c r="U9" s="378">
        <v>0</v>
      </c>
      <c r="V9" s="378">
        <v>0</v>
      </c>
      <c r="W9" s="378">
        <v>1</v>
      </c>
      <c r="X9" s="378">
        <v>17</v>
      </c>
      <c r="Y9" s="378"/>
      <c r="Z9" s="378">
        <v>1</v>
      </c>
      <c r="AA9" s="378">
        <v>30</v>
      </c>
      <c r="AB9" s="378"/>
      <c r="AC9" s="475">
        <v>690.7179</v>
      </c>
      <c r="AD9" s="378">
        <v>4.15</v>
      </c>
    </row>
    <row r="10" spans="1:30" ht="30" customHeight="1">
      <c r="A10" s="299">
        <v>4</v>
      </c>
      <c r="B10" s="299" t="s">
        <v>652</v>
      </c>
      <c r="C10" s="378"/>
      <c r="D10" s="378">
        <v>1</v>
      </c>
      <c r="E10" s="354"/>
      <c r="F10" s="379">
        <v>5.366</v>
      </c>
      <c r="G10" s="544">
        <v>3.538</v>
      </c>
      <c r="H10" s="543">
        <f t="shared" si="0"/>
        <v>8.904</v>
      </c>
      <c r="I10" s="544">
        <v>815</v>
      </c>
      <c r="J10" s="544">
        <v>5</v>
      </c>
      <c r="K10" s="544">
        <v>7024</v>
      </c>
      <c r="L10" s="544">
        <v>21</v>
      </c>
      <c r="M10" s="543">
        <f t="shared" si="1"/>
        <v>7839</v>
      </c>
      <c r="N10" s="543">
        <f t="shared" si="1"/>
        <v>26</v>
      </c>
      <c r="O10" s="378">
        <v>111</v>
      </c>
      <c r="P10" s="378">
        <v>90</v>
      </c>
      <c r="Q10" s="378">
        <v>0</v>
      </c>
      <c r="R10" s="378">
        <v>2</v>
      </c>
      <c r="S10" s="378">
        <v>0</v>
      </c>
      <c r="T10" s="378">
        <v>2</v>
      </c>
      <c r="U10" s="378">
        <v>0</v>
      </c>
      <c r="V10" s="378">
        <v>0</v>
      </c>
      <c r="W10" s="378"/>
      <c r="X10" s="378">
        <v>98</v>
      </c>
      <c r="Y10" s="378"/>
      <c r="Z10" s="378">
        <v>3</v>
      </c>
      <c r="AA10" s="378">
        <v>33</v>
      </c>
      <c r="AB10" s="378"/>
      <c r="AC10" s="475">
        <v>479.9055</v>
      </c>
      <c r="AD10" s="378">
        <v>4.67</v>
      </c>
    </row>
    <row r="11" spans="1:30" ht="30" customHeight="1">
      <c r="A11" s="299">
        <v>5</v>
      </c>
      <c r="B11" s="299" t="s">
        <v>653</v>
      </c>
      <c r="C11" s="378"/>
      <c r="D11" s="378">
        <v>1</v>
      </c>
      <c r="E11" s="354"/>
      <c r="F11" s="379">
        <v>44.611</v>
      </c>
      <c r="G11" s="544">
        <v>10.072</v>
      </c>
      <c r="H11" s="543">
        <f t="shared" si="0"/>
        <v>54.68299999999999</v>
      </c>
      <c r="I11" s="544">
        <v>5424</v>
      </c>
      <c r="J11" s="544">
        <v>71</v>
      </c>
      <c r="K11" s="544">
        <v>6273</v>
      </c>
      <c r="L11" s="544">
        <v>42</v>
      </c>
      <c r="M11" s="543">
        <f t="shared" si="1"/>
        <v>11697</v>
      </c>
      <c r="N11" s="543">
        <f t="shared" si="1"/>
        <v>113</v>
      </c>
      <c r="O11" s="378">
        <v>420</v>
      </c>
      <c r="P11" s="378">
        <v>429</v>
      </c>
      <c r="Q11" s="378">
        <v>0</v>
      </c>
      <c r="R11" s="378">
        <v>3</v>
      </c>
      <c r="S11" s="378">
        <v>0</v>
      </c>
      <c r="T11" s="378">
        <v>3</v>
      </c>
      <c r="U11" s="378">
        <v>0</v>
      </c>
      <c r="V11" s="378">
        <v>0</v>
      </c>
      <c r="W11" s="378">
        <v>2</v>
      </c>
      <c r="X11" s="378">
        <v>199</v>
      </c>
      <c r="Y11" s="378"/>
      <c r="Z11" s="378">
        <v>1</v>
      </c>
      <c r="AA11" s="378">
        <v>341</v>
      </c>
      <c r="AB11" s="378"/>
      <c r="AC11" s="475">
        <v>1054.0682</v>
      </c>
      <c r="AD11" s="378">
        <v>7.72</v>
      </c>
    </row>
    <row r="12" spans="1:30" ht="30" customHeight="1">
      <c r="A12" s="541">
        <v>6</v>
      </c>
      <c r="B12" s="299" t="s">
        <v>654</v>
      </c>
      <c r="C12" s="378"/>
      <c r="D12" s="378">
        <v>1</v>
      </c>
      <c r="E12" s="354"/>
      <c r="F12" s="379">
        <v>7.52</v>
      </c>
      <c r="G12" s="544">
        <v>0.241</v>
      </c>
      <c r="H12" s="543">
        <f t="shared" si="0"/>
        <v>7.760999999999999</v>
      </c>
      <c r="I12" s="544">
        <v>3935</v>
      </c>
      <c r="J12" s="544">
        <v>20</v>
      </c>
      <c r="K12" s="544">
        <v>930</v>
      </c>
      <c r="L12" s="544">
        <v>8</v>
      </c>
      <c r="M12" s="543">
        <f t="shared" si="1"/>
        <v>4865</v>
      </c>
      <c r="N12" s="543">
        <f t="shared" si="1"/>
        <v>28</v>
      </c>
      <c r="O12" s="378">
        <v>69</v>
      </c>
      <c r="P12" s="378">
        <v>80</v>
      </c>
      <c r="Q12" s="378">
        <v>0</v>
      </c>
      <c r="R12" s="378">
        <v>1</v>
      </c>
      <c r="S12" s="378">
        <v>0</v>
      </c>
      <c r="T12" s="378">
        <v>1</v>
      </c>
      <c r="U12" s="378">
        <v>0</v>
      </c>
      <c r="V12" s="378">
        <v>0</v>
      </c>
      <c r="W12" s="378"/>
      <c r="X12" s="378">
        <v>45</v>
      </c>
      <c r="Y12" s="378"/>
      <c r="Z12" s="378"/>
      <c r="AA12" s="378">
        <v>78</v>
      </c>
      <c r="AB12" s="378"/>
      <c r="AC12" s="475">
        <v>887.7044</v>
      </c>
      <c r="AD12" s="378">
        <v>4.88</v>
      </c>
    </row>
    <row r="13" spans="1:30" ht="30" customHeight="1">
      <c r="A13" s="334">
        <v>7</v>
      </c>
      <c r="B13" s="334" t="s">
        <v>655</v>
      </c>
      <c r="C13" s="362"/>
      <c r="D13" s="362">
        <v>1</v>
      </c>
      <c r="E13" s="340"/>
      <c r="F13" s="545">
        <v>22.29</v>
      </c>
      <c r="G13" s="540">
        <v>3.239</v>
      </c>
      <c r="H13" s="546">
        <f t="shared" si="0"/>
        <v>25.529</v>
      </c>
      <c r="I13" s="540">
        <v>1502</v>
      </c>
      <c r="J13" s="540">
        <v>20</v>
      </c>
      <c r="K13" s="540">
        <v>1570</v>
      </c>
      <c r="L13" s="540">
        <v>12</v>
      </c>
      <c r="M13" s="546">
        <f t="shared" si="1"/>
        <v>3072</v>
      </c>
      <c r="N13" s="546">
        <f t="shared" si="1"/>
        <v>32</v>
      </c>
      <c r="O13" s="362">
        <v>123</v>
      </c>
      <c r="P13" s="362">
        <v>125</v>
      </c>
      <c r="Q13" s="362">
        <v>0</v>
      </c>
      <c r="R13" s="362">
        <v>1</v>
      </c>
      <c r="S13" s="362">
        <v>0</v>
      </c>
      <c r="T13" s="362">
        <v>1</v>
      </c>
      <c r="U13" s="362">
        <v>0</v>
      </c>
      <c r="V13" s="362">
        <v>0</v>
      </c>
      <c r="W13" s="362">
        <v>1</v>
      </c>
      <c r="X13" s="362">
        <v>23</v>
      </c>
      <c r="Y13" s="362"/>
      <c r="Z13" s="362"/>
      <c r="AA13" s="362">
        <v>81</v>
      </c>
      <c r="AB13" s="362"/>
      <c r="AC13" s="475">
        <v>365.6606</v>
      </c>
      <c r="AD13" s="362">
        <v>1.11</v>
      </c>
    </row>
    <row r="14" spans="1:30" ht="30" customHeight="1">
      <c r="A14" s="334">
        <v>8</v>
      </c>
      <c r="B14" s="334" t="s">
        <v>656</v>
      </c>
      <c r="C14" s="362"/>
      <c r="D14" s="362">
        <v>1</v>
      </c>
      <c r="E14" s="340"/>
      <c r="F14" s="545">
        <v>65.845</v>
      </c>
      <c r="G14" s="540">
        <v>6.633</v>
      </c>
      <c r="H14" s="546">
        <f t="shared" si="0"/>
        <v>72.478</v>
      </c>
      <c r="I14" s="540">
        <v>4113</v>
      </c>
      <c r="J14" s="540">
        <v>69</v>
      </c>
      <c r="K14" s="540">
        <v>2120</v>
      </c>
      <c r="L14" s="540">
        <v>14</v>
      </c>
      <c r="M14" s="546">
        <f t="shared" si="1"/>
        <v>6233</v>
      </c>
      <c r="N14" s="546">
        <f t="shared" si="1"/>
        <v>83</v>
      </c>
      <c r="O14" s="362">
        <v>285</v>
      </c>
      <c r="P14" s="362">
        <v>264</v>
      </c>
      <c r="Q14" s="362">
        <v>0</v>
      </c>
      <c r="R14" s="362">
        <v>3</v>
      </c>
      <c r="S14" s="362">
        <v>0</v>
      </c>
      <c r="T14" s="362">
        <v>3</v>
      </c>
      <c r="U14" s="362">
        <v>0</v>
      </c>
      <c r="V14" s="362">
        <v>0</v>
      </c>
      <c r="W14" s="362"/>
      <c r="X14" s="362">
        <v>122</v>
      </c>
      <c r="Y14" s="362"/>
      <c r="Z14" s="362"/>
      <c r="AA14" s="362">
        <v>159</v>
      </c>
      <c r="AB14" s="362"/>
      <c r="AC14" s="475">
        <v>576.1608</v>
      </c>
      <c r="AD14" s="362">
        <v>6.76</v>
      </c>
    </row>
    <row r="15" spans="1:30" ht="30" customHeight="1">
      <c r="A15" s="334">
        <v>9</v>
      </c>
      <c r="B15" s="334" t="s">
        <v>657</v>
      </c>
      <c r="C15" s="362"/>
      <c r="D15" s="362">
        <v>1</v>
      </c>
      <c r="E15" s="340"/>
      <c r="F15" s="545">
        <v>71.323</v>
      </c>
      <c r="G15" s="540">
        <v>9.252</v>
      </c>
      <c r="H15" s="546">
        <f t="shared" si="0"/>
        <v>80.57499999999999</v>
      </c>
      <c r="I15" s="540">
        <v>3968</v>
      </c>
      <c r="J15" s="540">
        <v>56</v>
      </c>
      <c r="K15" s="540">
        <v>2875</v>
      </c>
      <c r="L15" s="540">
        <v>9</v>
      </c>
      <c r="M15" s="546">
        <f t="shared" si="1"/>
        <v>6843</v>
      </c>
      <c r="N15" s="546">
        <f t="shared" si="1"/>
        <v>65</v>
      </c>
      <c r="O15" s="362">
        <v>213</v>
      </c>
      <c r="P15" s="362">
        <v>201</v>
      </c>
      <c r="Q15" s="362">
        <v>0</v>
      </c>
      <c r="R15" s="362">
        <v>2</v>
      </c>
      <c r="S15" s="362">
        <v>0</v>
      </c>
      <c r="T15" s="362">
        <v>2</v>
      </c>
      <c r="U15" s="362">
        <v>0</v>
      </c>
      <c r="V15" s="362">
        <v>0</v>
      </c>
      <c r="W15" s="362">
        <v>3</v>
      </c>
      <c r="X15" s="362">
        <v>144</v>
      </c>
      <c r="Y15" s="362"/>
      <c r="Z15" s="362"/>
      <c r="AA15" s="362">
        <v>168</v>
      </c>
      <c r="AB15" s="362"/>
      <c r="AC15" s="475">
        <v>609.5395</v>
      </c>
      <c r="AD15" s="362">
        <v>8.67</v>
      </c>
    </row>
    <row r="16" spans="1:30" ht="30" customHeight="1">
      <c r="A16" s="334">
        <v>10</v>
      </c>
      <c r="B16" s="334" t="s">
        <v>658</v>
      </c>
      <c r="C16" s="362"/>
      <c r="D16" s="362">
        <v>1</v>
      </c>
      <c r="E16" s="340"/>
      <c r="F16" s="545">
        <v>160.653</v>
      </c>
      <c r="G16" s="540">
        <v>3.819</v>
      </c>
      <c r="H16" s="546">
        <f t="shared" si="0"/>
        <v>164.47199999999998</v>
      </c>
      <c r="I16" s="540">
        <v>4055</v>
      </c>
      <c r="J16" s="540">
        <v>83</v>
      </c>
      <c r="K16" s="540">
        <v>3300</v>
      </c>
      <c r="L16" s="540">
        <v>11</v>
      </c>
      <c r="M16" s="546">
        <f t="shared" si="1"/>
        <v>7355</v>
      </c>
      <c r="N16" s="546">
        <f t="shared" si="1"/>
        <v>94</v>
      </c>
      <c r="O16" s="362">
        <v>336</v>
      </c>
      <c r="P16" s="362">
        <v>306</v>
      </c>
      <c r="Q16" s="362">
        <v>0</v>
      </c>
      <c r="R16" s="362">
        <v>3</v>
      </c>
      <c r="S16" s="362">
        <v>0</v>
      </c>
      <c r="T16" s="362">
        <v>3</v>
      </c>
      <c r="U16" s="362">
        <v>0</v>
      </c>
      <c r="V16" s="362">
        <v>0</v>
      </c>
      <c r="W16" s="362">
        <v>3</v>
      </c>
      <c r="X16" s="362">
        <v>69</v>
      </c>
      <c r="Y16" s="362"/>
      <c r="Z16" s="362">
        <v>1</v>
      </c>
      <c r="AA16" s="362">
        <v>266</v>
      </c>
      <c r="AB16" s="362"/>
      <c r="AC16" s="475">
        <v>767.9349</v>
      </c>
      <c r="AD16" s="362">
        <v>6.9</v>
      </c>
    </row>
    <row r="17" spans="1:30" ht="30" customHeight="1">
      <c r="A17" s="547">
        <v>11</v>
      </c>
      <c r="B17" s="334" t="s">
        <v>659</v>
      </c>
      <c r="C17" s="362">
        <v>1</v>
      </c>
      <c r="D17" s="362"/>
      <c r="E17" s="340"/>
      <c r="F17" s="545">
        <v>16.226</v>
      </c>
      <c r="G17" s="540">
        <v>2.872</v>
      </c>
      <c r="H17" s="546">
        <f t="shared" si="0"/>
        <v>19.098</v>
      </c>
      <c r="I17" s="540">
        <v>2507</v>
      </c>
      <c r="J17" s="540">
        <v>24</v>
      </c>
      <c r="K17" s="540">
        <v>2508</v>
      </c>
      <c r="L17" s="540">
        <v>20</v>
      </c>
      <c r="M17" s="546">
        <f t="shared" si="1"/>
        <v>5015</v>
      </c>
      <c r="N17" s="546">
        <f t="shared" si="1"/>
        <v>44</v>
      </c>
      <c r="O17" s="362">
        <v>129</v>
      </c>
      <c r="P17" s="362">
        <v>147</v>
      </c>
      <c r="Q17" s="362">
        <v>0</v>
      </c>
      <c r="R17" s="362">
        <v>1</v>
      </c>
      <c r="S17" s="362">
        <v>0</v>
      </c>
      <c r="T17" s="362">
        <v>1</v>
      </c>
      <c r="U17" s="362">
        <v>0</v>
      </c>
      <c r="V17" s="362">
        <v>0</v>
      </c>
      <c r="W17" s="362">
        <v>4</v>
      </c>
      <c r="X17" s="362">
        <v>81</v>
      </c>
      <c r="Y17" s="362"/>
      <c r="Z17" s="362"/>
      <c r="AA17" s="362">
        <v>114</v>
      </c>
      <c r="AB17" s="362"/>
      <c r="AC17" s="475">
        <v>574.6708</v>
      </c>
      <c r="AD17" s="362">
        <v>2.92</v>
      </c>
    </row>
    <row r="18" spans="1:30" ht="30" customHeight="1">
      <c r="A18" s="334">
        <v>12</v>
      </c>
      <c r="B18" s="334" t="s">
        <v>660</v>
      </c>
      <c r="C18" s="362"/>
      <c r="D18" s="362">
        <v>1</v>
      </c>
      <c r="E18" s="340"/>
      <c r="F18" s="545">
        <v>22.91</v>
      </c>
      <c r="G18" s="540">
        <v>1.94</v>
      </c>
      <c r="H18" s="546">
        <f t="shared" si="0"/>
        <v>24.85</v>
      </c>
      <c r="I18" s="540">
        <v>1525</v>
      </c>
      <c r="J18" s="540">
        <v>26</v>
      </c>
      <c r="K18" s="540">
        <v>700</v>
      </c>
      <c r="L18" s="540">
        <v>2</v>
      </c>
      <c r="M18" s="546">
        <f t="shared" si="1"/>
        <v>2225</v>
      </c>
      <c r="N18" s="546">
        <f t="shared" si="1"/>
        <v>28</v>
      </c>
      <c r="O18" s="362">
        <v>108</v>
      </c>
      <c r="P18" s="362">
        <v>111</v>
      </c>
      <c r="Q18" s="362">
        <v>0</v>
      </c>
      <c r="R18" s="362">
        <v>1</v>
      </c>
      <c r="S18" s="362">
        <v>0</v>
      </c>
      <c r="T18" s="362">
        <v>1</v>
      </c>
      <c r="U18" s="362">
        <v>0</v>
      </c>
      <c r="V18" s="362">
        <v>0</v>
      </c>
      <c r="W18" s="362">
        <v>5</v>
      </c>
      <c r="X18" s="362">
        <v>91</v>
      </c>
      <c r="Y18" s="362"/>
      <c r="Z18" s="362">
        <v>1</v>
      </c>
      <c r="AA18" s="362">
        <v>81</v>
      </c>
      <c r="AB18" s="362"/>
      <c r="AC18" s="475">
        <v>267.6417</v>
      </c>
      <c r="AD18" s="362">
        <v>6.27</v>
      </c>
    </row>
    <row r="19" spans="1:30" ht="30" customHeight="1">
      <c r="A19" s="334">
        <v>13</v>
      </c>
      <c r="B19" s="334" t="s">
        <v>661</v>
      </c>
      <c r="C19" s="362"/>
      <c r="D19" s="362">
        <v>1</v>
      </c>
      <c r="E19" s="340"/>
      <c r="F19" s="545">
        <v>43.719</v>
      </c>
      <c r="G19" s="540">
        <v>4.824</v>
      </c>
      <c r="H19" s="546">
        <f t="shared" si="0"/>
        <v>48.543</v>
      </c>
      <c r="I19" s="540">
        <v>1803</v>
      </c>
      <c r="J19" s="540">
        <v>37</v>
      </c>
      <c r="K19" s="540">
        <v>1240</v>
      </c>
      <c r="L19" s="540">
        <v>8</v>
      </c>
      <c r="M19" s="546">
        <f t="shared" si="1"/>
        <v>3043</v>
      </c>
      <c r="N19" s="546">
        <f t="shared" si="1"/>
        <v>45</v>
      </c>
      <c r="O19" s="362">
        <v>144</v>
      </c>
      <c r="P19" s="362">
        <v>135</v>
      </c>
      <c r="Q19" s="362">
        <v>0</v>
      </c>
      <c r="R19" s="362">
        <v>2</v>
      </c>
      <c r="S19" s="362">
        <v>0</v>
      </c>
      <c r="T19" s="362">
        <v>2</v>
      </c>
      <c r="U19" s="362">
        <v>0</v>
      </c>
      <c r="V19" s="362">
        <v>0</v>
      </c>
      <c r="W19" s="362">
        <v>5</v>
      </c>
      <c r="X19" s="362">
        <v>89</v>
      </c>
      <c r="Y19" s="362"/>
      <c r="Z19" s="362"/>
      <c r="AA19" s="362">
        <v>114</v>
      </c>
      <c r="AB19" s="362"/>
      <c r="AC19" s="475">
        <v>300.9866</v>
      </c>
      <c r="AD19" s="362">
        <v>6.24</v>
      </c>
    </row>
    <row r="20" spans="1:30" ht="30" customHeight="1">
      <c r="A20" s="362">
        <v>14</v>
      </c>
      <c r="B20" s="362" t="s">
        <v>662</v>
      </c>
      <c r="C20" s="362"/>
      <c r="D20" s="362">
        <v>1</v>
      </c>
      <c r="E20" s="548"/>
      <c r="F20" s="545">
        <v>29.786</v>
      </c>
      <c r="G20" s="540">
        <v>1.986</v>
      </c>
      <c r="H20" s="546">
        <f t="shared" si="0"/>
        <v>31.772000000000002</v>
      </c>
      <c r="I20" s="540">
        <v>3188</v>
      </c>
      <c r="J20" s="540">
        <v>40</v>
      </c>
      <c r="K20" s="540">
        <v>1440</v>
      </c>
      <c r="L20" s="540">
        <v>11</v>
      </c>
      <c r="M20" s="546">
        <f t="shared" si="1"/>
        <v>4628</v>
      </c>
      <c r="N20" s="546">
        <f t="shared" si="1"/>
        <v>51</v>
      </c>
      <c r="O20" s="362">
        <v>168</v>
      </c>
      <c r="P20" s="362">
        <v>162</v>
      </c>
      <c r="Q20" s="362">
        <v>0</v>
      </c>
      <c r="R20" s="362">
        <v>1</v>
      </c>
      <c r="S20" s="362">
        <v>0</v>
      </c>
      <c r="T20" s="362">
        <v>1</v>
      </c>
      <c r="U20" s="362">
        <v>0</v>
      </c>
      <c r="V20" s="362">
        <v>0</v>
      </c>
      <c r="W20" s="362">
        <v>10</v>
      </c>
      <c r="X20" s="362">
        <v>135</v>
      </c>
      <c r="Y20" s="362"/>
      <c r="Z20" s="362"/>
      <c r="AA20" s="362"/>
      <c r="AB20" s="362"/>
      <c r="AC20" s="475"/>
      <c r="AD20" s="362"/>
    </row>
    <row r="21" spans="1:30" ht="30" customHeight="1">
      <c r="A21" s="334">
        <v>15</v>
      </c>
      <c r="B21" s="334" t="s">
        <v>663</v>
      </c>
      <c r="C21" s="378"/>
      <c r="D21" s="362">
        <v>1</v>
      </c>
      <c r="E21" s="340"/>
      <c r="F21" s="379">
        <v>36.517</v>
      </c>
      <c r="G21" s="540">
        <v>6.864</v>
      </c>
      <c r="H21" s="546">
        <f t="shared" si="0"/>
        <v>43.381</v>
      </c>
      <c r="I21" s="540">
        <v>3187</v>
      </c>
      <c r="J21" s="540">
        <v>40</v>
      </c>
      <c r="K21" s="540">
        <v>5315</v>
      </c>
      <c r="L21" s="540">
        <v>24</v>
      </c>
      <c r="M21" s="546">
        <f t="shared" si="1"/>
        <v>8502</v>
      </c>
      <c r="N21" s="546">
        <f t="shared" si="1"/>
        <v>64</v>
      </c>
      <c r="O21" s="362">
        <v>201</v>
      </c>
      <c r="P21" s="362">
        <v>195</v>
      </c>
      <c r="Q21" s="362">
        <v>0</v>
      </c>
      <c r="R21" s="362">
        <v>5</v>
      </c>
      <c r="S21" s="362">
        <v>0</v>
      </c>
      <c r="T21" s="362">
        <v>5</v>
      </c>
      <c r="U21" s="362">
        <v>0</v>
      </c>
      <c r="V21" s="362">
        <v>0</v>
      </c>
      <c r="W21" s="362">
        <v>7</v>
      </c>
      <c r="X21" s="362">
        <v>44</v>
      </c>
      <c r="Y21" s="362"/>
      <c r="Z21" s="362">
        <v>1</v>
      </c>
      <c r="AA21" s="362"/>
      <c r="AB21" s="362"/>
      <c r="AC21" s="475">
        <v>1399.5574</v>
      </c>
      <c r="AD21" s="362">
        <v>7.03</v>
      </c>
    </row>
    <row r="22" spans="1:30" ht="30" customHeight="1">
      <c r="A22" s="547">
        <v>16</v>
      </c>
      <c r="B22" s="334" t="s">
        <v>664</v>
      </c>
      <c r="C22" s="362"/>
      <c r="D22" s="362">
        <v>1</v>
      </c>
      <c r="E22" s="340"/>
      <c r="F22" s="545">
        <v>26.498</v>
      </c>
      <c r="G22" s="540">
        <v>1.819</v>
      </c>
      <c r="H22" s="546">
        <f t="shared" si="0"/>
        <v>28.317</v>
      </c>
      <c r="I22" s="540">
        <v>1335</v>
      </c>
      <c r="J22" s="544">
        <v>20</v>
      </c>
      <c r="K22" s="540">
        <v>1100</v>
      </c>
      <c r="L22" s="540">
        <v>6</v>
      </c>
      <c r="M22" s="546">
        <f t="shared" si="1"/>
        <v>2435</v>
      </c>
      <c r="N22" s="546">
        <f t="shared" si="1"/>
        <v>26</v>
      </c>
      <c r="O22" s="362">
        <v>99</v>
      </c>
      <c r="P22" s="362">
        <v>105</v>
      </c>
      <c r="Q22" s="362">
        <v>0</v>
      </c>
      <c r="R22" s="362">
        <v>1</v>
      </c>
      <c r="S22" s="362">
        <v>0</v>
      </c>
      <c r="T22" s="362">
        <v>1</v>
      </c>
      <c r="U22" s="362">
        <v>0</v>
      </c>
      <c r="V22" s="362">
        <v>0</v>
      </c>
      <c r="W22" s="362"/>
      <c r="X22" s="362">
        <v>86</v>
      </c>
      <c r="Y22" s="362"/>
      <c r="Z22" s="362"/>
      <c r="AA22" s="362">
        <v>66</v>
      </c>
      <c r="AB22" s="362"/>
      <c r="AC22" s="475">
        <v>335.559</v>
      </c>
      <c r="AD22" s="362">
        <v>7.02</v>
      </c>
    </row>
    <row r="23" spans="1:30" ht="30" customHeight="1">
      <c r="A23" s="334">
        <v>17</v>
      </c>
      <c r="B23" s="334" t="s">
        <v>665</v>
      </c>
      <c r="C23" s="362"/>
      <c r="D23" s="362">
        <v>1</v>
      </c>
      <c r="E23" s="340"/>
      <c r="F23" s="545">
        <v>25.395</v>
      </c>
      <c r="G23" s="540">
        <v>3.133</v>
      </c>
      <c r="H23" s="546">
        <f t="shared" si="0"/>
        <v>28.528</v>
      </c>
      <c r="I23" s="540">
        <v>2578</v>
      </c>
      <c r="J23" s="540">
        <v>33</v>
      </c>
      <c r="K23" s="540">
        <v>5120</v>
      </c>
      <c r="L23" s="540">
        <v>19</v>
      </c>
      <c r="M23" s="546">
        <f t="shared" si="1"/>
        <v>7698</v>
      </c>
      <c r="N23" s="546">
        <f t="shared" si="1"/>
        <v>52</v>
      </c>
      <c r="O23" s="362">
        <v>147</v>
      </c>
      <c r="P23" s="362">
        <v>213</v>
      </c>
      <c r="Q23" s="362">
        <v>0</v>
      </c>
      <c r="R23" s="362">
        <v>2</v>
      </c>
      <c r="S23" s="362">
        <v>0</v>
      </c>
      <c r="T23" s="362">
        <v>2</v>
      </c>
      <c r="U23" s="362">
        <v>0</v>
      </c>
      <c r="V23" s="362">
        <v>0</v>
      </c>
      <c r="W23" s="362">
        <v>1</v>
      </c>
      <c r="X23" s="362">
        <v>130</v>
      </c>
      <c r="Y23" s="362"/>
      <c r="Z23" s="362"/>
      <c r="AA23" s="362">
        <v>174</v>
      </c>
      <c r="AB23" s="362"/>
      <c r="AC23" s="475">
        <v>873.6041</v>
      </c>
      <c r="AD23" s="362">
        <v>9.95</v>
      </c>
    </row>
    <row r="24" spans="1:30" ht="30" customHeight="1">
      <c r="A24" s="334">
        <v>18</v>
      </c>
      <c r="B24" s="334" t="s">
        <v>666</v>
      </c>
      <c r="C24" s="362"/>
      <c r="D24" s="362">
        <v>1</v>
      </c>
      <c r="E24" s="340"/>
      <c r="F24" s="545">
        <v>29.058</v>
      </c>
      <c r="G24" s="540">
        <v>4.134</v>
      </c>
      <c r="H24" s="546">
        <f t="shared" si="0"/>
        <v>33.192</v>
      </c>
      <c r="I24" s="540">
        <v>2208</v>
      </c>
      <c r="J24" s="540">
        <v>26</v>
      </c>
      <c r="K24" s="540">
        <v>2845</v>
      </c>
      <c r="L24" s="540">
        <v>18</v>
      </c>
      <c r="M24" s="546">
        <f t="shared" si="1"/>
        <v>5053</v>
      </c>
      <c r="N24" s="546">
        <f t="shared" si="1"/>
        <v>44</v>
      </c>
      <c r="O24" s="362">
        <v>197</v>
      </c>
      <c r="P24" s="362">
        <v>180</v>
      </c>
      <c r="Q24" s="362">
        <v>0</v>
      </c>
      <c r="R24" s="362">
        <v>3</v>
      </c>
      <c r="S24" s="362">
        <v>0</v>
      </c>
      <c r="T24" s="362">
        <v>3</v>
      </c>
      <c r="U24" s="362">
        <v>0</v>
      </c>
      <c r="V24" s="362">
        <v>0</v>
      </c>
      <c r="W24" s="362">
        <v>3</v>
      </c>
      <c r="X24" s="362">
        <v>10</v>
      </c>
      <c r="Y24" s="362"/>
      <c r="Z24" s="362"/>
      <c r="AA24" s="362">
        <v>90</v>
      </c>
      <c r="AB24" s="362"/>
      <c r="AC24" s="475">
        <v>1338.6001</v>
      </c>
      <c r="AD24" s="362">
        <v>10.77</v>
      </c>
    </row>
    <row r="25" spans="1:30" ht="30" customHeight="1">
      <c r="A25" s="334">
        <v>19</v>
      </c>
      <c r="B25" s="334" t="s">
        <v>667</v>
      </c>
      <c r="C25" s="362"/>
      <c r="D25" s="362">
        <v>1</v>
      </c>
      <c r="E25" s="340"/>
      <c r="F25" s="545">
        <v>6.719</v>
      </c>
      <c r="G25" s="540">
        <v>0.488</v>
      </c>
      <c r="H25" s="546">
        <f t="shared" si="0"/>
        <v>7.207000000000001</v>
      </c>
      <c r="I25" s="540">
        <v>505</v>
      </c>
      <c r="J25" s="540">
        <v>5</v>
      </c>
      <c r="K25" s="540">
        <v>860</v>
      </c>
      <c r="L25" s="540">
        <v>4</v>
      </c>
      <c r="M25" s="546">
        <f t="shared" si="1"/>
        <v>1365</v>
      </c>
      <c r="N25" s="546">
        <f t="shared" si="1"/>
        <v>9</v>
      </c>
      <c r="O25" s="362">
        <v>13</v>
      </c>
      <c r="P25" s="362">
        <v>33</v>
      </c>
      <c r="Q25" s="362"/>
      <c r="R25" s="362">
        <v>1</v>
      </c>
      <c r="S25" s="362">
        <v>0</v>
      </c>
      <c r="T25" s="362">
        <v>1</v>
      </c>
      <c r="U25" s="362">
        <v>0</v>
      </c>
      <c r="V25" s="362">
        <v>0</v>
      </c>
      <c r="W25" s="362"/>
      <c r="X25" s="362"/>
      <c r="Y25" s="362"/>
      <c r="Z25" s="362"/>
      <c r="AA25" s="362"/>
      <c r="AB25" s="362"/>
      <c r="AC25" s="475">
        <v>260.3468</v>
      </c>
      <c r="AD25" s="362">
        <v>8.02</v>
      </c>
    </row>
    <row r="26" spans="1:30" ht="30" customHeight="1">
      <c r="A26" s="334">
        <v>20</v>
      </c>
      <c r="B26" s="334" t="s">
        <v>668</v>
      </c>
      <c r="C26" s="362">
        <v>1</v>
      </c>
      <c r="D26" s="362"/>
      <c r="E26" s="340"/>
      <c r="F26" s="545">
        <v>13.04</v>
      </c>
      <c r="G26" s="540">
        <v>0.845</v>
      </c>
      <c r="H26" s="546">
        <f t="shared" si="0"/>
        <v>13.885</v>
      </c>
      <c r="I26" s="540">
        <v>3070</v>
      </c>
      <c r="J26" s="540">
        <v>11</v>
      </c>
      <c r="K26" s="540">
        <v>3130</v>
      </c>
      <c r="L26" s="540">
        <v>6</v>
      </c>
      <c r="M26" s="546">
        <f t="shared" si="1"/>
        <v>6200</v>
      </c>
      <c r="N26" s="546">
        <f t="shared" si="1"/>
        <v>17</v>
      </c>
      <c r="O26" s="362">
        <v>72</v>
      </c>
      <c r="P26" s="362">
        <v>69</v>
      </c>
      <c r="Q26" s="362">
        <v>0</v>
      </c>
      <c r="R26" s="362">
        <v>3</v>
      </c>
      <c r="S26" s="362">
        <v>0</v>
      </c>
      <c r="T26" s="362">
        <v>3</v>
      </c>
      <c r="U26" s="362">
        <v>0</v>
      </c>
      <c r="V26" s="362">
        <v>0</v>
      </c>
      <c r="W26" s="362"/>
      <c r="X26" s="362">
        <v>17</v>
      </c>
      <c r="Y26" s="362"/>
      <c r="Z26" s="362"/>
      <c r="AA26" s="362"/>
      <c r="AB26" s="362"/>
      <c r="AC26" s="475">
        <v>381.7879</v>
      </c>
      <c r="AD26" s="362">
        <v>6.31</v>
      </c>
    </row>
    <row r="27" spans="1:30" ht="30" customHeight="1">
      <c r="A27" s="334">
        <v>21</v>
      </c>
      <c r="B27" s="334" t="s">
        <v>669</v>
      </c>
      <c r="C27" s="362">
        <v>1</v>
      </c>
      <c r="D27" s="362"/>
      <c r="E27" s="340"/>
      <c r="F27" s="545">
        <v>5.635</v>
      </c>
      <c r="G27" s="540">
        <v>1.645</v>
      </c>
      <c r="H27" s="546">
        <f t="shared" si="0"/>
        <v>7.279999999999999</v>
      </c>
      <c r="I27" s="540">
        <v>200</v>
      </c>
      <c r="J27" s="540">
        <v>2</v>
      </c>
      <c r="K27" s="540">
        <v>5910</v>
      </c>
      <c r="L27" s="540">
        <v>11</v>
      </c>
      <c r="M27" s="546">
        <f t="shared" si="1"/>
        <v>6110</v>
      </c>
      <c r="N27" s="546">
        <f t="shared" si="1"/>
        <v>13</v>
      </c>
      <c r="O27" s="362">
        <v>42</v>
      </c>
      <c r="P27" s="362">
        <v>39</v>
      </c>
      <c r="Q27" s="362">
        <v>0</v>
      </c>
      <c r="R27" s="362">
        <v>2</v>
      </c>
      <c r="S27" s="362">
        <v>0</v>
      </c>
      <c r="T27" s="362">
        <v>2</v>
      </c>
      <c r="U27" s="362">
        <v>0</v>
      </c>
      <c r="V27" s="362">
        <v>0</v>
      </c>
      <c r="W27" s="362"/>
      <c r="X27" s="362">
        <v>123</v>
      </c>
      <c r="Y27" s="362"/>
      <c r="Z27" s="362">
        <v>2</v>
      </c>
      <c r="AA27" s="362">
        <v>60</v>
      </c>
      <c r="AB27" s="362"/>
      <c r="AC27" s="475">
        <v>717.1244</v>
      </c>
      <c r="AD27" s="362">
        <v>2.34</v>
      </c>
    </row>
    <row r="28" spans="1:30" ht="30" customHeight="1">
      <c r="A28" s="334">
        <v>22</v>
      </c>
      <c r="B28" s="334" t="s">
        <v>670</v>
      </c>
      <c r="C28" s="362">
        <v>1</v>
      </c>
      <c r="D28" s="362"/>
      <c r="E28" s="340"/>
      <c r="F28" s="545">
        <v>23.457</v>
      </c>
      <c r="G28" s="540">
        <v>7.736</v>
      </c>
      <c r="H28" s="546">
        <f t="shared" si="0"/>
        <v>31.193</v>
      </c>
      <c r="I28" s="540">
        <v>7395</v>
      </c>
      <c r="J28" s="540">
        <v>43</v>
      </c>
      <c r="K28" s="540">
        <v>16232</v>
      </c>
      <c r="L28" s="540">
        <v>73</v>
      </c>
      <c r="M28" s="546">
        <f t="shared" si="1"/>
        <v>23627</v>
      </c>
      <c r="N28" s="546">
        <f t="shared" si="1"/>
        <v>116</v>
      </c>
      <c r="O28" s="362">
        <v>396</v>
      </c>
      <c r="P28" s="362">
        <v>408</v>
      </c>
      <c r="Q28" s="362">
        <v>0</v>
      </c>
      <c r="R28" s="362">
        <v>3</v>
      </c>
      <c r="S28" s="362">
        <v>0</v>
      </c>
      <c r="T28" s="362">
        <v>3</v>
      </c>
      <c r="U28" s="362">
        <v>0</v>
      </c>
      <c r="V28" s="362">
        <v>0</v>
      </c>
      <c r="W28" s="362">
        <v>2781</v>
      </c>
      <c r="X28" s="362">
        <v>1</v>
      </c>
      <c r="Y28" s="362"/>
      <c r="Z28" s="362">
        <v>1</v>
      </c>
      <c r="AA28" s="362">
        <v>156</v>
      </c>
      <c r="AB28" s="362"/>
      <c r="AC28" s="475">
        <v>2593.1735</v>
      </c>
      <c r="AD28" s="362">
        <v>7.7</v>
      </c>
    </row>
    <row r="29" spans="1:30" ht="30" customHeight="1">
      <c r="A29" s="334">
        <v>23</v>
      </c>
      <c r="B29" s="334" t="s">
        <v>671</v>
      </c>
      <c r="C29" s="362">
        <v>1</v>
      </c>
      <c r="D29" s="362"/>
      <c r="E29" s="340"/>
      <c r="F29" s="545">
        <v>0.185</v>
      </c>
      <c r="G29" s="540">
        <v>0.399</v>
      </c>
      <c r="H29" s="546">
        <f t="shared" si="0"/>
        <v>0.5840000000000001</v>
      </c>
      <c r="I29" s="540">
        <v>0</v>
      </c>
      <c r="J29" s="540">
        <v>0</v>
      </c>
      <c r="K29" s="540">
        <v>2250</v>
      </c>
      <c r="L29" s="540">
        <v>3</v>
      </c>
      <c r="M29" s="546">
        <f t="shared" si="1"/>
        <v>2250</v>
      </c>
      <c r="N29" s="546">
        <f t="shared" si="1"/>
        <v>3</v>
      </c>
      <c r="O29" s="362">
        <v>15</v>
      </c>
      <c r="P29" s="362">
        <v>12</v>
      </c>
      <c r="Q29" s="362">
        <v>0</v>
      </c>
      <c r="R29" s="362">
        <v>0</v>
      </c>
      <c r="S29" s="362">
        <v>0</v>
      </c>
      <c r="T29" s="362">
        <v>0</v>
      </c>
      <c r="U29" s="362">
        <v>0</v>
      </c>
      <c r="V29" s="362">
        <v>0</v>
      </c>
      <c r="W29" s="362"/>
      <c r="X29" s="362">
        <v>22</v>
      </c>
      <c r="Y29" s="362"/>
      <c r="Z29" s="362">
        <v>1</v>
      </c>
      <c r="AA29" s="362"/>
      <c r="AB29" s="362"/>
      <c r="AC29" s="475"/>
      <c r="AD29" s="362"/>
    </row>
    <row r="30" spans="1:30" ht="30" customHeight="1">
      <c r="A30" s="334">
        <v>24</v>
      </c>
      <c r="B30" s="334" t="s">
        <v>672</v>
      </c>
      <c r="C30" s="362"/>
      <c r="D30" s="362">
        <v>1</v>
      </c>
      <c r="E30" s="340"/>
      <c r="F30" s="545">
        <v>25.978</v>
      </c>
      <c r="G30" s="540">
        <v>8.771</v>
      </c>
      <c r="H30" s="546">
        <f t="shared" si="0"/>
        <v>34.749</v>
      </c>
      <c r="I30" s="540">
        <v>3558</v>
      </c>
      <c r="J30" s="540">
        <v>28</v>
      </c>
      <c r="K30" s="540">
        <v>14249</v>
      </c>
      <c r="L30" s="540">
        <v>62</v>
      </c>
      <c r="M30" s="546">
        <f t="shared" si="1"/>
        <v>17807</v>
      </c>
      <c r="N30" s="546">
        <f t="shared" si="1"/>
        <v>90</v>
      </c>
      <c r="O30" s="362">
        <v>300</v>
      </c>
      <c r="P30" s="362">
        <v>397</v>
      </c>
      <c r="Q30" s="362">
        <v>0</v>
      </c>
      <c r="R30" s="362">
        <v>2</v>
      </c>
      <c r="S30" s="362">
        <v>0</v>
      </c>
      <c r="T30" s="362">
        <v>2</v>
      </c>
      <c r="U30" s="362">
        <v>0</v>
      </c>
      <c r="V30" s="362">
        <v>0</v>
      </c>
      <c r="W30" s="362">
        <v>102</v>
      </c>
      <c r="X30" s="362">
        <v>4</v>
      </c>
      <c r="Y30" s="362"/>
      <c r="Z30" s="362">
        <v>3</v>
      </c>
      <c r="AA30" s="362">
        <v>249</v>
      </c>
      <c r="AB30" s="362"/>
      <c r="AC30" s="475">
        <v>1183.4226</v>
      </c>
      <c r="AD30" s="362">
        <v>6.16</v>
      </c>
    </row>
    <row r="31" spans="1:30" ht="30" customHeight="1">
      <c r="A31" s="334">
        <v>25</v>
      </c>
      <c r="B31" s="334" t="s">
        <v>673</v>
      </c>
      <c r="C31" s="362">
        <v>1</v>
      </c>
      <c r="D31" s="362"/>
      <c r="E31" s="340"/>
      <c r="F31" s="545">
        <v>13.096</v>
      </c>
      <c r="G31" s="540">
        <v>0.335</v>
      </c>
      <c r="H31" s="367">
        <f t="shared" si="0"/>
        <v>13.431000000000001</v>
      </c>
      <c r="I31" s="540">
        <v>790</v>
      </c>
      <c r="J31" s="540">
        <v>3</v>
      </c>
      <c r="K31" s="362">
        <v>0</v>
      </c>
      <c r="L31" s="362">
        <v>0</v>
      </c>
      <c r="M31" s="367">
        <f t="shared" si="1"/>
        <v>790</v>
      </c>
      <c r="N31" s="367">
        <f t="shared" si="1"/>
        <v>3</v>
      </c>
      <c r="O31" s="362">
        <v>12</v>
      </c>
      <c r="P31" s="362">
        <v>15</v>
      </c>
      <c r="Q31" s="362">
        <v>0</v>
      </c>
      <c r="R31" s="362">
        <v>1</v>
      </c>
      <c r="S31" s="362">
        <v>0</v>
      </c>
      <c r="T31" s="362">
        <v>1</v>
      </c>
      <c r="U31" s="362">
        <v>0</v>
      </c>
      <c r="V31" s="362">
        <v>0</v>
      </c>
      <c r="W31" s="362"/>
      <c r="X31" s="362">
        <v>36</v>
      </c>
      <c r="Y31" s="362"/>
      <c r="Z31" s="362"/>
      <c r="AA31" s="362"/>
      <c r="AB31" s="362"/>
      <c r="AC31" s="475"/>
      <c r="AD31" s="559"/>
    </row>
    <row r="32" spans="1:30" ht="30" customHeight="1">
      <c r="A32" s="334">
        <v>26</v>
      </c>
      <c r="B32" s="334" t="s">
        <v>674</v>
      </c>
      <c r="C32" s="362">
        <v>1</v>
      </c>
      <c r="D32" s="362"/>
      <c r="E32" s="362"/>
      <c r="F32" s="362">
        <v>16.979</v>
      </c>
      <c r="G32" s="540">
        <v>5.587</v>
      </c>
      <c r="H32" s="367">
        <f t="shared" si="0"/>
        <v>22.566</v>
      </c>
      <c r="I32" s="540">
        <v>2355</v>
      </c>
      <c r="J32" s="540">
        <v>20</v>
      </c>
      <c r="K32" s="362">
        <v>11384</v>
      </c>
      <c r="L32" s="362">
        <v>29</v>
      </c>
      <c r="M32" s="367">
        <f t="shared" si="1"/>
        <v>13739</v>
      </c>
      <c r="N32" s="367">
        <f t="shared" si="1"/>
        <v>49</v>
      </c>
      <c r="O32" s="362">
        <v>171</v>
      </c>
      <c r="P32" s="362">
        <v>162</v>
      </c>
      <c r="Q32" s="362">
        <v>0</v>
      </c>
      <c r="R32" s="362">
        <v>1</v>
      </c>
      <c r="S32" s="362">
        <v>0</v>
      </c>
      <c r="T32" s="362">
        <v>1</v>
      </c>
      <c r="U32" s="362">
        <v>0</v>
      </c>
      <c r="V32" s="362">
        <v>0</v>
      </c>
      <c r="W32" s="362">
        <v>106</v>
      </c>
      <c r="X32" s="362">
        <v>70</v>
      </c>
      <c r="Y32" s="362"/>
      <c r="Z32" s="362">
        <v>1</v>
      </c>
      <c r="AA32" s="362">
        <v>187</v>
      </c>
      <c r="AB32" s="362"/>
      <c r="AC32" s="475">
        <v>1169.0865</v>
      </c>
      <c r="AD32" s="362">
        <v>4.27</v>
      </c>
    </row>
    <row r="33" spans="1:30" ht="30" customHeight="1">
      <c r="A33" s="334">
        <v>27</v>
      </c>
      <c r="B33" s="334" t="s">
        <v>675</v>
      </c>
      <c r="C33" s="362"/>
      <c r="D33" s="362">
        <v>1</v>
      </c>
      <c r="E33" s="362"/>
      <c r="F33" s="362">
        <v>64.111</v>
      </c>
      <c r="G33" s="540">
        <v>8.067</v>
      </c>
      <c r="H33" s="367">
        <f t="shared" si="0"/>
        <v>72.178</v>
      </c>
      <c r="I33" s="540">
        <v>5316</v>
      </c>
      <c r="J33" s="540">
        <v>71</v>
      </c>
      <c r="K33" s="362">
        <v>4636</v>
      </c>
      <c r="L33" s="362">
        <v>30</v>
      </c>
      <c r="M33" s="367">
        <f t="shared" si="1"/>
        <v>9952</v>
      </c>
      <c r="N33" s="367">
        <f t="shared" si="1"/>
        <v>101</v>
      </c>
      <c r="O33" s="362">
        <v>333</v>
      </c>
      <c r="P33" s="362">
        <v>327</v>
      </c>
      <c r="Q33" s="362">
        <v>0</v>
      </c>
      <c r="R33" s="362">
        <v>3</v>
      </c>
      <c r="S33" s="362">
        <v>0</v>
      </c>
      <c r="T33" s="362">
        <v>3</v>
      </c>
      <c r="U33" s="362">
        <v>0</v>
      </c>
      <c r="V33" s="362">
        <v>0</v>
      </c>
      <c r="W33" s="362">
        <v>103</v>
      </c>
      <c r="X33" s="362">
        <v>80</v>
      </c>
      <c r="Y33" s="362"/>
      <c r="Z33" s="362">
        <v>1</v>
      </c>
      <c r="AA33" s="362">
        <v>165</v>
      </c>
      <c r="AB33" s="362"/>
      <c r="AC33" s="475">
        <v>1344.1029</v>
      </c>
      <c r="AD33" s="362">
        <v>6.63</v>
      </c>
    </row>
    <row r="34" spans="1:30" ht="30" customHeight="1">
      <c r="A34" s="334">
        <v>28</v>
      </c>
      <c r="B34" s="334" t="s">
        <v>676</v>
      </c>
      <c r="C34" s="362"/>
      <c r="D34" s="362">
        <v>1</v>
      </c>
      <c r="E34" s="362"/>
      <c r="F34" s="362">
        <v>74.143</v>
      </c>
      <c r="G34" s="540">
        <v>5.776</v>
      </c>
      <c r="H34" s="367">
        <f t="shared" si="0"/>
        <v>79.919</v>
      </c>
      <c r="I34" s="540">
        <v>3626</v>
      </c>
      <c r="J34" s="540">
        <v>63</v>
      </c>
      <c r="K34" s="362">
        <v>3865</v>
      </c>
      <c r="L34" s="362">
        <v>17</v>
      </c>
      <c r="M34" s="367">
        <f t="shared" si="1"/>
        <v>7491</v>
      </c>
      <c r="N34" s="367">
        <f t="shared" si="1"/>
        <v>80</v>
      </c>
      <c r="O34" s="362">
        <v>342</v>
      </c>
      <c r="P34" s="362">
        <v>276</v>
      </c>
      <c r="Q34" s="362">
        <v>0</v>
      </c>
      <c r="R34" s="362">
        <v>2</v>
      </c>
      <c r="S34" s="362">
        <v>0</v>
      </c>
      <c r="T34" s="362">
        <v>2</v>
      </c>
      <c r="U34" s="362">
        <v>0</v>
      </c>
      <c r="V34" s="362">
        <v>0</v>
      </c>
      <c r="W34" s="362"/>
      <c r="X34" s="362">
        <v>52</v>
      </c>
      <c r="Y34" s="362"/>
      <c r="Z34" s="362">
        <v>2</v>
      </c>
      <c r="AA34" s="362"/>
      <c r="AB34" s="362"/>
      <c r="AC34" s="475">
        <v>866.3504</v>
      </c>
      <c r="AD34" s="362">
        <v>7.14</v>
      </c>
    </row>
    <row r="35" spans="1:30" ht="30" customHeight="1">
      <c r="A35" s="334">
        <v>29</v>
      </c>
      <c r="B35" s="334" t="s">
        <v>677</v>
      </c>
      <c r="C35" s="362">
        <v>1</v>
      </c>
      <c r="D35" s="362"/>
      <c r="E35" s="362"/>
      <c r="F35" s="362">
        <v>18.028</v>
      </c>
      <c r="G35" s="540">
        <v>6.271</v>
      </c>
      <c r="H35" s="367">
        <f t="shared" si="0"/>
        <v>24.299</v>
      </c>
      <c r="I35" s="540">
        <v>1265</v>
      </c>
      <c r="J35" s="540">
        <v>6</v>
      </c>
      <c r="K35" s="362">
        <v>6753</v>
      </c>
      <c r="L35" s="362">
        <v>32</v>
      </c>
      <c r="M35" s="367">
        <f t="shared" si="1"/>
        <v>8018</v>
      </c>
      <c r="N35" s="367">
        <f t="shared" si="1"/>
        <v>38</v>
      </c>
      <c r="O35" s="362">
        <v>177</v>
      </c>
      <c r="P35" s="362">
        <v>111</v>
      </c>
      <c r="Q35" s="362">
        <v>0</v>
      </c>
      <c r="R35" s="362">
        <v>2</v>
      </c>
      <c r="S35" s="362">
        <v>0</v>
      </c>
      <c r="T35" s="362">
        <v>2</v>
      </c>
      <c r="U35" s="362">
        <v>0</v>
      </c>
      <c r="V35" s="362">
        <v>0</v>
      </c>
      <c r="W35" s="362">
        <v>5</v>
      </c>
      <c r="X35" s="362">
        <v>41</v>
      </c>
      <c r="Y35" s="362"/>
      <c r="Z35" s="362">
        <v>1</v>
      </c>
      <c r="AA35" s="362"/>
      <c r="AB35" s="362"/>
      <c r="AC35" s="475">
        <v>1074.9268</v>
      </c>
      <c r="AD35" s="362">
        <v>7.58</v>
      </c>
    </row>
    <row r="36" spans="1:30" ht="30" customHeight="1">
      <c r="A36" s="334">
        <v>30</v>
      </c>
      <c r="B36" s="334" t="s">
        <v>678</v>
      </c>
      <c r="C36" s="362"/>
      <c r="D36" s="362">
        <v>1</v>
      </c>
      <c r="E36" s="362"/>
      <c r="F36" s="362">
        <v>34.978</v>
      </c>
      <c r="G36" s="540">
        <v>4.485</v>
      </c>
      <c r="H36" s="367">
        <f t="shared" si="0"/>
        <v>39.463</v>
      </c>
      <c r="I36" s="540">
        <v>1696</v>
      </c>
      <c r="J36" s="540">
        <v>34</v>
      </c>
      <c r="K36" s="362">
        <v>2980</v>
      </c>
      <c r="L36" s="362">
        <v>10</v>
      </c>
      <c r="M36" s="367">
        <f t="shared" si="1"/>
        <v>4676</v>
      </c>
      <c r="N36" s="367">
        <f t="shared" si="1"/>
        <v>44</v>
      </c>
      <c r="O36" s="362">
        <v>162</v>
      </c>
      <c r="P36" s="362">
        <v>159</v>
      </c>
      <c r="Q36" s="362">
        <v>0</v>
      </c>
      <c r="R36" s="362">
        <v>3</v>
      </c>
      <c r="S36" s="362">
        <v>0</v>
      </c>
      <c r="T36" s="362">
        <v>3</v>
      </c>
      <c r="U36" s="362">
        <v>0</v>
      </c>
      <c r="V36" s="362">
        <v>0</v>
      </c>
      <c r="W36" s="362">
        <v>6</v>
      </c>
      <c r="X36" s="362">
        <v>46</v>
      </c>
      <c r="Y36" s="362"/>
      <c r="Z36" s="362"/>
      <c r="AA36" s="362">
        <v>27</v>
      </c>
      <c r="AB36" s="362"/>
      <c r="AC36" s="475">
        <v>340.8567</v>
      </c>
      <c r="AD36" s="362">
        <v>4.39</v>
      </c>
    </row>
    <row r="37" spans="1:30" ht="30" customHeight="1">
      <c r="A37" s="334">
        <v>31</v>
      </c>
      <c r="B37" s="334" t="s">
        <v>679</v>
      </c>
      <c r="C37" s="362"/>
      <c r="D37" s="362">
        <v>1</v>
      </c>
      <c r="E37" s="362"/>
      <c r="F37" s="362">
        <v>32.549</v>
      </c>
      <c r="G37" s="540">
        <v>0</v>
      </c>
      <c r="H37" s="367">
        <f t="shared" si="0"/>
        <v>32.549</v>
      </c>
      <c r="I37" s="540">
        <v>1118</v>
      </c>
      <c r="J37" s="540">
        <v>18</v>
      </c>
      <c r="K37" s="362">
        <v>0</v>
      </c>
      <c r="L37" s="362">
        <v>0</v>
      </c>
      <c r="M37" s="367">
        <f t="shared" si="1"/>
        <v>1118</v>
      </c>
      <c r="N37" s="367">
        <f t="shared" si="1"/>
        <v>18</v>
      </c>
      <c r="O37" s="362">
        <v>69</v>
      </c>
      <c r="P37" s="362">
        <v>66</v>
      </c>
      <c r="Q37" s="362">
        <v>0</v>
      </c>
      <c r="R37" s="362">
        <v>1</v>
      </c>
      <c r="S37" s="362">
        <v>0</v>
      </c>
      <c r="T37" s="362">
        <v>1</v>
      </c>
      <c r="U37" s="362">
        <v>0</v>
      </c>
      <c r="V37" s="362">
        <v>0</v>
      </c>
      <c r="W37" s="362">
        <v>2</v>
      </c>
      <c r="X37" s="362">
        <v>10</v>
      </c>
      <c r="Y37" s="362"/>
      <c r="Z37" s="362">
        <v>1</v>
      </c>
      <c r="AA37" s="362">
        <v>81</v>
      </c>
      <c r="AB37" s="362"/>
      <c r="AC37" s="475">
        <v>161.2392</v>
      </c>
      <c r="AD37" s="362">
        <v>5.26</v>
      </c>
    </row>
    <row r="38" spans="1:30" ht="30" customHeight="1">
      <c r="A38" s="334">
        <v>32</v>
      </c>
      <c r="B38" s="334" t="s">
        <v>680</v>
      </c>
      <c r="C38" s="362"/>
      <c r="D38" s="362">
        <v>1</v>
      </c>
      <c r="E38" s="362"/>
      <c r="F38" s="362">
        <v>24.213</v>
      </c>
      <c r="G38" s="540">
        <v>0</v>
      </c>
      <c r="H38" s="367">
        <f t="shared" si="0"/>
        <v>24.213</v>
      </c>
      <c r="I38" s="540">
        <v>693</v>
      </c>
      <c r="J38" s="540">
        <v>11</v>
      </c>
      <c r="K38" s="362">
        <v>0</v>
      </c>
      <c r="L38" s="362">
        <v>0</v>
      </c>
      <c r="M38" s="367">
        <f t="shared" si="1"/>
        <v>693</v>
      </c>
      <c r="N38" s="367">
        <f t="shared" si="1"/>
        <v>11</v>
      </c>
      <c r="O38" s="362">
        <v>45</v>
      </c>
      <c r="P38" s="362">
        <v>48</v>
      </c>
      <c r="Q38" s="362">
        <v>0</v>
      </c>
      <c r="R38" s="362">
        <v>1</v>
      </c>
      <c r="S38" s="362">
        <v>0</v>
      </c>
      <c r="T38" s="362">
        <v>1</v>
      </c>
      <c r="U38" s="362">
        <v>0</v>
      </c>
      <c r="V38" s="362">
        <v>0</v>
      </c>
      <c r="W38" s="362"/>
      <c r="X38" s="362">
        <v>44</v>
      </c>
      <c r="Y38" s="362"/>
      <c r="Z38" s="362"/>
      <c r="AA38" s="362">
        <v>18</v>
      </c>
      <c r="AB38" s="362"/>
      <c r="AC38" s="475"/>
      <c r="AD38" s="362"/>
    </row>
    <row r="39" spans="1:30" ht="30" customHeight="1">
      <c r="A39" s="334">
        <v>33</v>
      </c>
      <c r="B39" s="334" t="s">
        <v>681</v>
      </c>
      <c r="C39" s="362"/>
      <c r="D39" s="362">
        <v>1</v>
      </c>
      <c r="E39" s="362"/>
      <c r="F39" s="362">
        <v>50.132</v>
      </c>
      <c r="G39" s="540">
        <v>0</v>
      </c>
      <c r="H39" s="367">
        <f t="shared" si="0"/>
        <v>50.132</v>
      </c>
      <c r="I39" s="540">
        <v>1998</v>
      </c>
      <c r="J39" s="540">
        <v>38</v>
      </c>
      <c r="K39" s="362">
        <v>155</v>
      </c>
      <c r="L39" s="362">
        <v>3</v>
      </c>
      <c r="M39" s="367">
        <f t="shared" si="1"/>
        <v>2153</v>
      </c>
      <c r="N39" s="367">
        <f t="shared" si="1"/>
        <v>41</v>
      </c>
      <c r="O39" s="362">
        <v>225</v>
      </c>
      <c r="P39" s="362">
        <v>219</v>
      </c>
      <c r="Q39" s="362">
        <v>0</v>
      </c>
      <c r="R39" s="362">
        <v>1</v>
      </c>
      <c r="S39" s="362">
        <v>0</v>
      </c>
      <c r="T39" s="362">
        <v>1</v>
      </c>
      <c r="U39" s="362">
        <v>0</v>
      </c>
      <c r="V39" s="362">
        <v>0</v>
      </c>
      <c r="W39" s="362"/>
      <c r="X39" s="362">
        <v>23</v>
      </c>
      <c r="Y39" s="362"/>
      <c r="Z39" s="362"/>
      <c r="AA39" s="362">
        <v>108</v>
      </c>
      <c r="AB39" s="362"/>
      <c r="AC39" s="475">
        <v>248.1886</v>
      </c>
      <c r="AD39" s="362">
        <v>8.45</v>
      </c>
    </row>
    <row r="40" spans="1:30" ht="30" customHeight="1">
      <c r="A40" s="334">
        <v>34</v>
      </c>
      <c r="B40" s="334" t="s">
        <v>682</v>
      </c>
      <c r="C40" s="362"/>
      <c r="D40" s="362">
        <v>1</v>
      </c>
      <c r="E40" s="362"/>
      <c r="F40" s="362">
        <v>32.626</v>
      </c>
      <c r="G40" s="540">
        <v>1.535</v>
      </c>
      <c r="H40" s="367">
        <f t="shared" si="0"/>
        <v>34.160999999999994</v>
      </c>
      <c r="I40" s="540">
        <v>860</v>
      </c>
      <c r="J40" s="540">
        <v>22</v>
      </c>
      <c r="K40" s="362">
        <v>1400</v>
      </c>
      <c r="L40" s="362">
        <v>8</v>
      </c>
      <c r="M40" s="367">
        <f t="shared" si="1"/>
        <v>2260</v>
      </c>
      <c r="N40" s="367">
        <f t="shared" si="1"/>
        <v>30</v>
      </c>
      <c r="O40" s="362">
        <v>165</v>
      </c>
      <c r="P40" s="362">
        <v>162</v>
      </c>
      <c r="Q40" s="362">
        <v>0</v>
      </c>
      <c r="R40" s="362">
        <v>2</v>
      </c>
      <c r="S40" s="362">
        <v>0</v>
      </c>
      <c r="T40" s="362">
        <v>2</v>
      </c>
      <c r="U40" s="362">
        <v>0</v>
      </c>
      <c r="V40" s="362">
        <v>0</v>
      </c>
      <c r="W40" s="362">
        <v>6</v>
      </c>
      <c r="X40" s="362">
        <v>101</v>
      </c>
      <c r="Y40" s="362"/>
      <c r="Z40" s="362"/>
      <c r="AA40" s="362">
        <v>72</v>
      </c>
      <c r="AB40" s="362"/>
      <c r="AC40" s="475">
        <v>71.0429</v>
      </c>
      <c r="AD40" s="362">
        <v>10.71</v>
      </c>
    </row>
    <row r="41" spans="1:30" ht="30" customHeight="1">
      <c r="A41" s="334">
        <v>35</v>
      </c>
      <c r="B41" s="334" t="s">
        <v>683</v>
      </c>
      <c r="C41" s="362"/>
      <c r="D41" s="362">
        <v>1</v>
      </c>
      <c r="E41" s="362"/>
      <c r="F41" s="362">
        <v>35.194</v>
      </c>
      <c r="G41" s="540">
        <v>2.948</v>
      </c>
      <c r="H41" s="367">
        <f t="shared" si="0"/>
        <v>38.142</v>
      </c>
      <c r="I41" s="540">
        <v>1513</v>
      </c>
      <c r="J41" s="540">
        <v>23</v>
      </c>
      <c r="K41" s="362">
        <v>495</v>
      </c>
      <c r="L41" s="362">
        <v>8</v>
      </c>
      <c r="M41" s="367">
        <f t="shared" si="1"/>
        <v>2008</v>
      </c>
      <c r="N41" s="367">
        <f t="shared" si="1"/>
        <v>31</v>
      </c>
      <c r="O41" s="362">
        <v>102</v>
      </c>
      <c r="P41" s="362">
        <v>99</v>
      </c>
      <c r="Q41" s="362">
        <v>0</v>
      </c>
      <c r="R41" s="362">
        <v>1</v>
      </c>
      <c r="S41" s="362">
        <v>0</v>
      </c>
      <c r="T41" s="362">
        <v>1</v>
      </c>
      <c r="U41" s="362">
        <v>0</v>
      </c>
      <c r="V41" s="362">
        <v>0</v>
      </c>
      <c r="W41" s="362">
        <v>2</v>
      </c>
      <c r="X41" s="362">
        <v>56</v>
      </c>
      <c r="Y41" s="362"/>
      <c r="Z41" s="362"/>
      <c r="AA41" s="362">
        <v>90</v>
      </c>
      <c r="AB41" s="362"/>
      <c r="AC41" s="475">
        <v>189.6045</v>
      </c>
      <c r="AD41" s="362">
        <v>8.94</v>
      </c>
    </row>
    <row r="42" spans="1:30" ht="30" customHeight="1">
      <c r="A42" s="334">
        <v>36</v>
      </c>
      <c r="B42" s="334" t="s">
        <v>684</v>
      </c>
      <c r="C42" s="362"/>
      <c r="D42" s="362">
        <v>1</v>
      </c>
      <c r="E42" s="362"/>
      <c r="F42" s="362">
        <v>120.79</v>
      </c>
      <c r="G42" s="540">
        <v>4.982</v>
      </c>
      <c r="H42" s="367">
        <f t="shared" si="0"/>
        <v>125.772</v>
      </c>
      <c r="I42" s="540">
        <v>2524</v>
      </c>
      <c r="J42" s="540">
        <v>44</v>
      </c>
      <c r="K42" s="362">
        <v>2230</v>
      </c>
      <c r="L42" s="362">
        <v>13</v>
      </c>
      <c r="M42" s="367">
        <f t="shared" si="1"/>
        <v>4754</v>
      </c>
      <c r="N42" s="367">
        <f t="shared" si="1"/>
        <v>57</v>
      </c>
      <c r="O42" s="362">
        <v>222</v>
      </c>
      <c r="P42" s="362">
        <v>216</v>
      </c>
      <c r="Q42" s="362">
        <v>0</v>
      </c>
      <c r="R42" s="362">
        <v>4</v>
      </c>
      <c r="S42" s="362">
        <v>0</v>
      </c>
      <c r="T42" s="362">
        <v>4</v>
      </c>
      <c r="U42" s="362">
        <v>0</v>
      </c>
      <c r="V42" s="362">
        <v>0</v>
      </c>
      <c r="W42" s="362">
        <v>2</v>
      </c>
      <c r="X42" s="362"/>
      <c r="Y42" s="362"/>
      <c r="Z42" s="362"/>
      <c r="AA42" s="362">
        <v>168</v>
      </c>
      <c r="AB42" s="362"/>
      <c r="AC42" s="475">
        <v>282.8185</v>
      </c>
      <c r="AD42" s="362">
        <v>9.26</v>
      </c>
    </row>
    <row r="43" spans="1:30" ht="30" customHeight="1">
      <c r="A43" s="334">
        <v>37</v>
      </c>
      <c r="B43" s="334" t="s">
        <v>685</v>
      </c>
      <c r="C43" s="362">
        <v>1</v>
      </c>
      <c r="D43" s="362"/>
      <c r="E43" s="362"/>
      <c r="F43" s="362">
        <v>57.72</v>
      </c>
      <c r="G43" s="540">
        <v>1.25</v>
      </c>
      <c r="H43" s="367">
        <f t="shared" si="0"/>
        <v>58.97</v>
      </c>
      <c r="I43" s="540">
        <v>760</v>
      </c>
      <c r="J43" s="540">
        <v>23</v>
      </c>
      <c r="K43" s="362">
        <v>315</v>
      </c>
      <c r="L43" s="362">
        <v>1</v>
      </c>
      <c r="M43" s="367">
        <f t="shared" si="1"/>
        <v>1075</v>
      </c>
      <c r="N43" s="367">
        <f t="shared" si="1"/>
        <v>24</v>
      </c>
      <c r="O43" s="362">
        <v>90</v>
      </c>
      <c r="P43" s="362">
        <v>75</v>
      </c>
      <c r="Q43" s="362"/>
      <c r="R43" s="362">
        <v>3</v>
      </c>
      <c r="S43" s="362"/>
      <c r="T43" s="362">
        <v>3</v>
      </c>
      <c r="U43" s="362"/>
      <c r="V43" s="362"/>
      <c r="W43" s="362"/>
      <c r="X43" s="362">
        <v>5</v>
      </c>
      <c r="Y43" s="362"/>
      <c r="Z43" s="362"/>
      <c r="AA43" s="362"/>
      <c r="AB43" s="362"/>
      <c r="AC43" s="475">
        <v>236.3229</v>
      </c>
      <c r="AD43" s="362">
        <v>9.86</v>
      </c>
    </row>
    <row r="44" spans="1:30" ht="30" customHeight="1">
      <c r="A44" s="334">
        <v>38</v>
      </c>
      <c r="B44" s="334" t="s">
        <v>686</v>
      </c>
      <c r="C44" s="362"/>
      <c r="D44" s="362">
        <v>1</v>
      </c>
      <c r="E44" s="362"/>
      <c r="F44" s="362">
        <v>1.32</v>
      </c>
      <c r="G44" s="540">
        <v>1.965</v>
      </c>
      <c r="H44" s="367">
        <f t="shared" si="0"/>
        <v>3.285</v>
      </c>
      <c r="I44" s="540">
        <v>505</v>
      </c>
      <c r="J44" s="540">
        <v>2</v>
      </c>
      <c r="K44" s="362">
        <v>3570</v>
      </c>
      <c r="L44" s="362">
        <v>5</v>
      </c>
      <c r="M44" s="367">
        <f t="shared" si="1"/>
        <v>4075</v>
      </c>
      <c r="N44" s="367">
        <f t="shared" si="1"/>
        <v>7</v>
      </c>
      <c r="O44" s="362"/>
      <c r="P44" s="362"/>
      <c r="Q44" s="362"/>
      <c r="R44" s="362">
        <v>1</v>
      </c>
      <c r="S44" s="362"/>
      <c r="T44" s="362">
        <v>1</v>
      </c>
      <c r="U44" s="362"/>
      <c r="V44" s="362"/>
      <c r="W44" s="362"/>
      <c r="X44" s="362">
        <v>9</v>
      </c>
      <c r="Y44" s="362"/>
      <c r="Z44" s="362"/>
      <c r="AA44" s="362">
        <v>15</v>
      </c>
      <c r="AB44" s="362"/>
      <c r="AC44" s="475">
        <v>442.6714</v>
      </c>
      <c r="AD44" s="362">
        <v>4.34</v>
      </c>
    </row>
    <row r="45" spans="1:30" ht="30" customHeight="1">
      <c r="A45" s="334">
        <v>39</v>
      </c>
      <c r="B45" s="334" t="s">
        <v>687</v>
      </c>
      <c r="C45" s="362"/>
      <c r="D45" s="362"/>
      <c r="E45" s="362">
        <v>1</v>
      </c>
      <c r="F45" s="362">
        <v>0</v>
      </c>
      <c r="G45" s="540">
        <v>2.894</v>
      </c>
      <c r="H45" s="367">
        <f t="shared" si="0"/>
        <v>2.894</v>
      </c>
      <c r="I45" s="540">
        <v>0</v>
      </c>
      <c r="J45" s="540">
        <v>0</v>
      </c>
      <c r="K45" s="362">
        <v>2250</v>
      </c>
      <c r="L45" s="362">
        <v>4</v>
      </c>
      <c r="M45" s="367">
        <f t="shared" si="1"/>
        <v>2250</v>
      </c>
      <c r="N45" s="367">
        <f t="shared" si="1"/>
        <v>4</v>
      </c>
      <c r="O45" s="362">
        <v>9</v>
      </c>
      <c r="P45" s="362">
        <v>12</v>
      </c>
      <c r="Q45" s="362">
        <v>0</v>
      </c>
      <c r="R45" s="362">
        <v>0</v>
      </c>
      <c r="S45" s="362">
        <v>0</v>
      </c>
      <c r="T45" s="362">
        <v>0</v>
      </c>
      <c r="U45" s="362">
        <v>0</v>
      </c>
      <c r="V45" s="362">
        <v>0</v>
      </c>
      <c r="W45" s="362"/>
      <c r="X45" s="362">
        <v>1</v>
      </c>
      <c r="Y45" s="362"/>
      <c r="Z45" s="362">
        <v>1</v>
      </c>
      <c r="AA45" s="362">
        <v>3</v>
      </c>
      <c r="AB45" s="362"/>
      <c r="AC45" s="475">
        <v>848.9556</v>
      </c>
      <c r="AD45" s="362">
        <v>0</v>
      </c>
    </row>
    <row r="46" spans="1:30" ht="30" customHeight="1">
      <c r="A46" s="334">
        <v>40</v>
      </c>
      <c r="B46" s="334" t="s">
        <v>688</v>
      </c>
      <c r="C46" s="372"/>
      <c r="D46" s="372"/>
      <c r="E46" s="362">
        <v>1</v>
      </c>
      <c r="F46" s="362"/>
      <c r="G46" s="540"/>
      <c r="H46" s="367">
        <f t="shared" si="0"/>
        <v>0</v>
      </c>
      <c r="I46" s="540"/>
      <c r="J46" s="540"/>
      <c r="K46" s="362">
        <v>1430</v>
      </c>
      <c r="L46" s="362">
        <v>3</v>
      </c>
      <c r="M46" s="367">
        <f t="shared" si="1"/>
        <v>1430</v>
      </c>
      <c r="N46" s="367">
        <f t="shared" si="1"/>
        <v>3</v>
      </c>
      <c r="O46" s="362"/>
      <c r="P46" s="362"/>
      <c r="Q46" s="362"/>
      <c r="R46" s="362"/>
      <c r="S46" s="362"/>
      <c r="T46" s="362"/>
      <c r="U46" s="362"/>
      <c r="V46" s="362"/>
      <c r="W46" s="362"/>
      <c r="X46" s="362">
        <v>1</v>
      </c>
      <c r="Y46" s="362"/>
      <c r="Z46" s="362">
        <v>1</v>
      </c>
      <c r="AA46" s="362">
        <v>3</v>
      </c>
      <c r="AB46" s="362"/>
      <c r="AC46" s="475">
        <v>177.4105</v>
      </c>
      <c r="AD46" s="362">
        <v>0</v>
      </c>
    </row>
    <row r="47" spans="1:30" ht="30" customHeight="1">
      <c r="A47" s="334">
        <v>41</v>
      </c>
      <c r="B47" s="334" t="s">
        <v>689</v>
      </c>
      <c r="C47" s="362"/>
      <c r="D47" s="362"/>
      <c r="E47" s="362">
        <v>1</v>
      </c>
      <c r="F47" s="362">
        <v>0</v>
      </c>
      <c r="G47" s="540">
        <v>3.9</v>
      </c>
      <c r="H47" s="367">
        <f t="shared" si="0"/>
        <v>3.9</v>
      </c>
      <c r="I47" s="540">
        <v>0</v>
      </c>
      <c r="J47" s="540">
        <v>0</v>
      </c>
      <c r="K47" s="362">
        <v>2390</v>
      </c>
      <c r="L47" s="362">
        <v>3</v>
      </c>
      <c r="M47" s="367">
        <f t="shared" si="1"/>
        <v>2390</v>
      </c>
      <c r="N47" s="367">
        <f t="shared" si="1"/>
        <v>3</v>
      </c>
      <c r="O47" s="362">
        <v>12</v>
      </c>
      <c r="P47" s="362">
        <v>15</v>
      </c>
      <c r="Q47" s="362">
        <v>0</v>
      </c>
      <c r="R47" s="362">
        <v>0</v>
      </c>
      <c r="S47" s="362">
        <v>0</v>
      </c>
      <c r="T47" s="362">
        <v>0</v>
      </c>
      <c r="U47" s="362">
        <v>0</v>
      </c>
      <c r="V47" s="362">
        <v>0</v>
      </c>
      <c r="W47" s="362"/>
      <c r="X47" s="362">
        <v>1</v>
      </c>
      <c r="Y47" s="362"/>
      <c r="Z47" s="362">
        <v>1</v>
      </c>
      <c r="AA47" s="362">
        <v>3</v>
      </c>
      <c r="AB47" s="362"/>
      <c r="AC47" s="475">
        <v>1260.945</v>
      </c>
      <c r="AD47" s="362">
        <v>0</v>
      </c>
    </row>
    <row r="48" spans="1:30" ht="30" customHeight="1">
      <c r="A48" s="364">
        <v>42</v>
      </c>
      <c r="B48" s="299" t="s">
        <v>690</v>
      </c>
      <c r="C48" s="362"/>
      <c r="D48" s="362"/>
      <c r="E48" s="362">
        <v>1</v>
      </c>
      <c r="F48" s="362"/>
      <c r="G48" s="540">
        <v>0.6</v>
      </c>
      <c r="H48" s="367">
        <f t="shared" si="0"/>
        <v>0.6</v>
      </c>
      <c r="I48" s="540"/>
      <c r="J48" s="540"/>
      <c r="K48" s="362">
        <v>630</v>
      </c>
      <c r="L48" s="362">
        <v>1</v>
      </c>
      <c r="M48" s="367">
        <f t="shared" si="1"/>
        <v>630</v>
      </c>
      <c r="N48" s="367">
        <f t="shared" si="1"/>
        <v>1</v>
      </c>
      <c r="O48" s="362">
        <v>3</v>
      </c>
      <c r="P48" s="362">
        <v>3</v>
      </c>
      <c r="Q48" s="362"/>
      <c r="R48" s="362"/>
      <c r="S48" s="362"/>
      <c r="T48" s="362"/>
      <c r="U48" s="362"/>
      <c r="V48" s="362"/>
      <c r="W48" s="362"/>
      <c r="X48" s="362">
        <v>1</v>
      </c>
      <c r="Y48" s="362"/>
      <c r="Z48" s="362">
        <v>1</v>
      </c>
      <c r="AA48" s="362">
        <v>3</v>
      </c>
      <c r="AB48" s="362"/>
      <c r="AC48" s="475">
        <v>120.3765</v>
      </c>
      <c r="AD48" s="362">
        <v>0</v>
      </c>
    </row>
    <row r="49" spans="1:30" ht="30" customHeight="1">
      <c r="A49" s="549">
        <v>43</v>
      </c>
      <c r="B49" s="550" t="s">
        <v>691</v>
      </c>
      <c r="C49" s="551"/>
      <c r="D49" s="551"/>
      <c r="E49" s="540">
        <v>1</v>
      </c>
      <c r="F49" s="551"/>
      <c r="G49" s="551">
        <v>1.18</v>
      </c>
      <c r="H49" s="549">
        <v>1.18</v>
      </c>
      <c r="I49" s="540">
        <v>0</v>
      </c>
      <c r="J49" s="540">
        <v>0</v>
      </c>
      <c r="K49" s="551">
        <v>1000</v>
      </c>
      <c r="L49" s="551">
        <v>1</v>
      </c>
      <c r="M49" s="549">
        <v>1000</v>
      </c>
      <c r="N49" s="549">
        <v>1</v>
      </c>
      <c r="O49" s="551"/>
      <c r="P49" s="551"/>
      <c r="Q49" s="551">
        <v>0</v>
      </c>
      <c r="R49" s="551">
        <v>0</v>
      </c>
      <c r="S49" s="551">
        <v>0</v>
      </c>
      <c r="T49" s="551">
        <v>0</v>
      </c>
      <c r="U49" s="551">
        <v>0</v>
      </c>
      <c r="V49" s="551">
        <v>0</v>
      </c>
      <c r="W49" s="551"/>
      <c r="X49" s="551">
        <v>1</v>
      </c>
      <c r="Y49" s="551"/>
      <c r="Z49" s="551">
        <v>1</v>
      </c>
      <c r="AA49" s="551">
        <v>3</v>
      </c>
      <c r="AB49" s="551"/>
      <c r="AC49" s="560">
        <v>10.899</v>
      </c>
      <c r="AD49" s="551">
        <v>0</v>
      </c>
    </row>
    <row r="50" spans="1:30" ht="30" customHeight="1">
      <c r="A50" s="552" t="s">
        <v>209</v>
      </c>
      <c r="B50" s="553"/>
      <c r="C50" s="554">
        <f aca="true" t="shared" si="2" ref="C50:F50">SUM(C7:C48)</f>
        <v>12</v>
      </c>
      <c r="D50" s="554">
        <f t="shared" si="2"/>
        <v>26</v>
      </c>
      <c r="E50" s="554">
        <f>SUM(E45:E49)</f>
        <v>5</v>
      </c>
      <c r="F50" s="551">
        <f t="shared" si="2"/>
        <v>1287.735</v>
      </c>
      <c r="G50" s="551">
        <f aca="true" t="shared" si="3" ref="G50:N50">SUM(G7:G49)</f>
        <v>144.51399999999998</v>
      </c>
      <c r="H50" s="551">
        <f t="shared" si="3"/>
        <v>1432.2490000000003</v>
      </c>
      <c r="I50" s="551">
        <f t="shared" si="3"/>
        <v>90013</v>
      </c>
      <c r="J50" s="551">
        <f>SUM(J7:J48)</f>
        <v>1096</v>
      </c>
      <c r="K50" s="551">
        <f t="shared" si="3"/>
        <v>150194</v>
      </c>
      <c r="L50" s="551">
        <f t="shared" si="3"/>
        <v>626</v>
      </c>
      <c r="M50" s="551">
        <f t="shared" si="3"/>
        <v>240207</v>
      </c>
      <c r="N50" s="551">
        <f t="shared" si="3"/>
        <v>1722</v>
      </c>
      <c r="O50" s="551">
        <f>SUM(O7:O48)</f>
        <v>6334</v>
      </c>
      <c r="P50" s="551">
        <f>SUM(P7:P48)</f>
        <v>6143</v>
      </c>
      <c r="Q50" s="551">
        <f aca="true" t="shared" si="4" ref="Q50:AA50">SUM(Q7:Q48)</f>
        <v>0</v>
      </c>
      <c r="R50" s="551">
        <f t="shared" si="4"/>
        <v>74</v>
      </c>
      <c r="S50" s="551">
        <f t="shared" si="4"/>
        <v>0</v>
      </c>
      <c r="T50" s="551">
        <f t="shared" si="4"/>
        <v>74</v>
      </c>
      <c r="U50" s="551">
        <f t="shared" si="4"/>
        <v>0</v>
      </c>
      <c r="V50" s="551">
        <f t="shared" si="4"/>
        <v>0</v>
      </c>
      <c r="W50" s="551">
        <f t="shared" si="4"/>
        <v>4858</v>
      </c>
      <c r="X50" s="551">
        <f t="shared" si="4"/>
        <v>2762</v>
      </c>
      <c r="Y50" s="551">
        <f t="shared" si="4"/>
        <v>0</v>
      </c>
      <c r="Z50" s="551">
        <f t="shared" si="4"/>
        <v>28</v>
      </c>
      <c r="AA50" s="551">
        <f t="shared" si="4"/>
        <v>3531</v>
      </c>
      <c r="AB50" s="551"/>
      <c r="AC50" s="560">
        <v>27117.7145</v>
      </c>
      <c r="AD50" s="551">
        <v>6.03</v>
      </c>
    </row>
    <row r="51" spans="1:30" ht="15">
      <c r="A51" s="439"/>
      <c r="B51" s="440" t="s">
        <v>210</v>
      </c>
      <c r="C51" s="441"/>
      <c r="D51" s="441"/>
      <c r="E51" s="441"/>
      <c r="F51" s="441"/>
      <c r="G51" s="555"/>
      <c r="H51" s="441"/>
      <c r="I51" s="555"/>
      <c r="J51" s="555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58"/>
      <c r="X51" s="458"/>
      <c r="Y51" s="458"/>
      <c r="Z51" s="458"/>
      <c r="AA51" s="458"/>
      <c r="AB51" s="458"/>
      <c r="AC51" s="561"/>
      <c r="AD51" s="463"/>
    </row>
    <row r="52" spans="1:30" ht="15">
      <c r="A52" s="348"/>
      <c r="B52" s="442"/>
      <c r="C52" s="443"/>
      <c r="D52" s="443"/>
      <c r="E52" s="443"/>
      <c r="F52" s="443"/>
      <c r="G52" s="556"/>
      <c r="H52" s="443"/>
      <c r="I52" s="556"/>
      <c r="J52" s="556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59"/>
      <c r="X52" s="459"/>
      <c r="Y52" s="459"/>
      <c r="Z52" s="459"/>
      <c r="AA52" s="459"/>
      <c r="AB52" s="459"/>
      <c r="AC52" s="562"/>
      <c r="AD52" s="464"/>
    </row>
    <row r="53" spans="4:29" ht="15">
      <c r="D53" s="294" t="s">
        <v>176</v>
      </c>
      <c r="G53" s="539"/>
      <c r="I53" s="539"/>
      <c r="J53" s="539"/>
      <c r="O53" s="294" t="s">
        <v>177</v>
      </c>
      <c r="W53" s="447"/>
      <c r="X53" s="447"/>
      <c r="Y53" s="447"/>
      <c r="Z53" s="447" t="s">
        <v>211</v>
      </c>
      <c r="AA53" s="447" t="s">
        <v>692</v>
      </c>
      <c r="AB53" s="447"/>
      <c r="AC53" s="557"/>
    </row>
  </sheetData>
  <sheetProtection/>
  <mergeCells count="21">
    <mergeCell ref="A1:AD1"/>
    <mergeCell ref="C3:E3"/>
    <mergeCell ref="F3:H3"/>
    <mergeCell ref="I3:N3"/>
    <mergeCell ref="Q3:T3"/>
    <mergeCell ref="U3:V3"/>
    <mergeCell ref="W3:Y3"/>
    <mergeCell ref="AA3:AB3"/>
    <mergeCell ref="A50:B50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">
      <selection activeCell="A1" sqref="A1:AE1"/>
    </sheetView>
  </sheetViews>
  <sheetFormatPr defaultColWidth="9.00390625" defaultRowHeight="14.25"/>
  <cols>
    <col min="1" max="1" width="9.00390625" style="294" customWidth="1"/>
    <col min="2" max="2" width="11.25390625" style="294" customWidth="1"/>
    <col min="3" max="16384" width="9.00390625" style="294" customWidth="1"/>
  </cols>
  <sheetData>
    <row r="1" spans="1:30" ht="21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30" ht="15">
      <c r="A2" s="494" t="s">
        <v>98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 t="s">
        <v>693</v>
      </c>
      <c r="W2" s="494"/>
      <c r="X2" s="494"/>
      <c r="Y2" s="494"/>
      <c r="Z2" s="494"/>
      <c r="AA2" s="494"/>
      <c r="AB2" s="494" t="s">
        <v>694</v>
      </c>
      <c r="AC2" s="494"/>
      <c r="AD2" s="531"/>
    </row>
    <row r="3" spans="1:30" ht="15">
      <c r="A3" s="495" t="s">
        <v>102</v>
      </c>
      <c r="B3" s="496" t="s">
        <v>103</v>
      </c>
      <c r="C3" s="496" t="s">
        <v>104</v>
      </c>
      <c r="D3" s="496"/>
      <c r="E3" s="496"/>
      <c r="F3" s="497" t="s">
        <v>105</v>
      </c>
      <c r="G3" s="498"/>
      <c r="H3" s="498"/>
      <c r="I3" s="498" t="s">
        <v>695</v>
      </c>
      <c r="J3" s="498"/>
      <c r="K3" s="498"/>
      <c r="L3" s="498"/>
      <c r="M3" s="498"/>
      <c r="N3" s="498"/>
      <c r="O3" s="495" t="s">
        <v>107</v>
      </c>
      <c r="P3" s="495" t="s">
        <v>108</v>
      </c>
      <c r="Q3" s="528" t="s">
        <v>109</v>
      </c>
      <c r="R3" s="529"/>
      <c r="S3" s="529"/>
      <c r="T3" s="497"/>
      <c r="U3" s="498" t="s">
        <v>110</v>
      </c>
      <c r="V3" s="498"/>
      <c r="W3" s="528" t="s">
        <v>111</v>
      </c>
      <c r="X3" s="529"/>
      <c r="Y3" s="497"/>
      <c r="Z3" s="495" t="s">
        <v>112</v>
      </c>
      <c r="AA3" s="498" t="s">
        <v>113</v>
      </c>
      <c r="AB3" s="498"/>
      <c r="AC3" s="495" t="s">
        <v>114</v>
      </c>
      <c r="AD3" s="495" t="s">
        <v>115</v>
      </c>
    </row>
    <row r="4" spans="1:30" ht="15">
      <c r="A4" s="499"/>
      <c r="B4" s="496"/>
      <c r="C4" s="496" t="s">
        <v>116</v>
      </c>
      <c r="D4" s="496" t="s">
        <v>117</v>
      </c>
      <c r="E4" s="496" t="s">
        <v>118</v>
      </c>
      <c r="F4" s="500" t="s">
        <v>119</v>
      </c>
      <c r="G4" s="501"/>
      <c r="H4" s="501"/>
      <c r="I4" s="498" t="s">
        <v>120</v>
      </c>
      <c r="J4" s="498"/>
      <c r="K4" s="498" t="s">
        <v>121</v>
      </c>
      <c r="L4" s="498"/>
      <c r="M4" s="498" t="s">
        <v>122</v>
      </c>
      <c r="N4" s="498"/>
      <c r="O4" s="499"/>
      <c r="P4" s="526" t="s">
        <v>123</v>
      </c>
      <c r="Q4" s="495"/>
      <c r="R4" s="495"/>
      <c r="S4" s="495"/>
      <c r="T4" s="495"/>
      <c r="U4" s="498" t="s">
        <v>696</v>
      </c>
      <c r="V4" s="498"/>
      <c r="W4" s="495" t="s">
        <v>125</v>
      </c>
      <c r="X4" s="495" t="s">
        <v>126</v>
      </c>
      <c r="Y4" s="495" t="s">
        <v>126</v>
      </c>
      <c r="Z4" s="499" t="s">
        <v>127</v>
      </c>
      <c r="AA4" s="498" t="s">
        <v>128</v>
      </c>
      <c r="AB4" s="498"/>
      <c r="AC4" s="502" t="s">
        <v>129</v>
      </c>
      <c r="AD4" s="502" t="s">
        <v>130</v>
      </c>
    </row>
    <row r="5" spans="1:30" ht="15">
      <c r="A5" s="499"/>
      <c r="B5" s="496"/>
      <c r="C5" s="496"/>
      <c r="D5" s="496"/>
      <c r="E5" s="496"/>
      <c r="F5" s="500"/>
      <c r="G5" s="501"/>
      <c r="H5" s="501"/>
      <c r="I5" s="498"/>
      <c r="J5" s="498"/>
      <c r="K5" s="498"/>
      <c r="L5" s="498"/>
      <c r="M5" s="498"/>
      <c r="N5" s="498"/>
      <c r="O5" s="502" t="s">
        <v>131</v>
      </c>
      <c r="P5" s="523" t="s">
        <v>132</v>
      </c>
      <c r="Q5" s="499"/>
      <c r="R5" s="499" t="s">
        <v>133</v>
      </c>
      <c r="S5" s="499"/>
      <c r="T5" s="499"/>
      <c r="U5" s="498"/>
      <c r="V5" s="498"/>
      <c r="W5" s="499"/>
      <c r="X5" s="499"/>
      <c r="Y5" s="499"/>
      <c r="Z5" s="502" t="s">
        <v>134</v>
      </c>
      <c r="AA5" s="498"/>
      <c r="AB5" s="498"/>
      <c r="AC5" s="495" t="s">
        <v>135</v>
      </c>
      <c r="AD5" s="532" t="s">
        <v>136</v>
      </c>
    </row>
    <row r="6" spans="1:30" ht="15">
      <c r="A6" s="502" t="s">
        <v>137</v>
      </c>
      <c r="B6" s="496"/>
      <c r="C6" s="496"/>
      <c r="D6" s="496"/>
      <c r="E6" s="496"/>
      <c r="F6" s="497" t="s">
        <v>120</v>
      </c>
      <c r="G6" s="498" t="s">
        <v>121</v>
      </c>
      <c r="H6" s="498" t="s">
        <v>122</v>
      </c>
      <c r="I6" s="498" t="s">
        <v>138</v>
      </c>
      <c r="J6" s="498" t="s">
        <v>139</v>
      </c>
      <c r="K6" s="498" t="s">
        <v>138</v>
      </c>
      <c r="L6" s="498" t="s">
        <v>139</v>
      </c>
      <c r="M6" s="498" t="s">
        <v>138</v>
      </c>
      <c r="N6" s="498" t="s">
        <v>139</v>
      </c>
      <c r="O6" s="498" t="s">
        <v>128</v>
      </c>
      <c r="P6" s="498" t="s">
        <v>128</v>
      </c>
      <c r="Q6" s="530" t="s">
        <v>406</v>
      </c>
      <c r="R6" s="502" t="s">
        <v>141</v>
      </c>
      <c r="S6" s="502" t="s">
        <v>142</v>
      </c>
      <c r="T6" s="502" t="s">
        <v>122</v>
      </c>
      <c r="U6" s="498" t="s">
        <v>138</v>
      </c>
      <c r="V6" s="498" t="s">
        <v>139</v>
      </c>
      <c r="W6" s="502"/>
      <c r="X6" s="502" t="s">
        <v>143</v>
      </c>
      <c r="Y6" s="502" t="s">
        <v>144</v>
      </c>
      <c r="Z6" s="498" t="s">
        <v>145</v>
      </c>
      <c r="AA6" s="501" t="s">
        <v>146</v>
      </c>
      <c r="AB6" s="501" t="s">
        <v>147</v>
      </c>
      <c r="AC6" s="502" t="s">
        <v>148</v>
      </c>
      <c r="AD6" s="530"/>
    </row>
    <row r="7" spans="1:30" ht="30" customHeight="1">
      <c r="A7" s="503">
        <v>1</v>
      </c>
      <c r="B7" s="453" t="s">
        <v>697</v>
      </c>
      <c r="C7" s="453"/>
      <c r="D7" s="453">
        <v>1</v>
      </c>
      <c r="E7" s="453"/>
      <c r="F7" s="498">
        <v>115</v>
      </c>
      <c r="G7" s="498">
        <v>7.9</v>
      </c>
      <c r="H7" s="504">
        <f aca="true" t="shared" si="0" ref="H7:H12">G7+F7</f>
        <v>122.9</v>
      </c>
      <c r="I7" s="498">
        <v>3598</v>
      </c>
      <c r="J7" s="498">
        <v>23</v>
      </c>
      <c r="K7" s="498">
        <v>2790</v>
      </c>
      <c r="L7" s="498">
        <v>8</v>
      </c>
      <c r="M7" s="498">
        <f aca="true" t="shared" si="1" ref="M7:N47">K7+I7</f>
        <v>6388</v>
      </c>
      <c r="N7" s="453">
        <f t="shared" si="1"/>
        <v>31</v>
      </c>
      <c r="O7" s="498">
        <v>225</v>
      </c>
      <c r="P7" s="498">
        <v>246</v>
      </c>
      <c r="Q7" s="498"/>
      <c r="R7" s="498">
        <v>2</v>
      </c>
      <c r="S7" s="498"/>
      <c r="T7" s="498">
        <f aca="true" t="shared" si="2" ref="T7:T47">S7+R7+Q7</f>
        <v>2</v>
      </c>
      <c r="U7" s="498"/>
      <c r="V7" s="498"/>
      <c r="W7" s="498"/>
      <c r="X7" s="498">
        <v>85</v>
      </c>
      <c r="Y7" s="498">
        <v>6</v>
      </c>
      <c r="Z7" s="498">
        <v>4</v>
      </c>
      <c r="AA7" s="498">
        <v>243</v>
      </c>
      <c r="AB7" s="498">
        <v>12</v>
      </c>
      <c r="AC7" s="453">
        <v>503.6434</v>
      </c>
      <c r="AD7" s="453">
        <v>10.3</v>
      </c>
    </row>
    <row r="8" spans="1:30" ht="30" customHeight="1">
      <c r="A8" s="453">
        <v>2</v>
      </c>
      <c r="B8" s="505" t="s">
        <v>698</v>
      </c>
      <c r="C8" s="453"/>
      <c r="D8" s="453">
        <v>1</v>
      </c>
      <c r="E8" s="503"/>
      <c r="F8" s="503">
        <v>69.8</v>
      </c>
      <c r="G8" s="503">
        <v>11</v>
      </c>
      <c r="H8" s="504">
        <f t="shared" si="0"/>
        <v>80.8</v>
      </c>
      <c r="I8" s="503">
        <v>7833</v>
      </c>
      <c r="J8" s="503">
        <v>56</v>
      </c>
      <c r="K8" s="503">
        <v>4451</v>
      </c>
      <c r="L8" s="503">
        <v>26</v>
      </c>
      <c r="M8" s="498">
        <f t="shared" si="1"/>
        <v>12284</v>
      </c>
      <c r="N8" s="453">
        <f t="shared" si="1"/>
        <v>82</v>
      </c>
      <c r="O8" s="503">
        <v>450</v>
      </c>
      <c r="P8" s="503">
        <v>435</v>
      </c>
      <c r="Q8" s="503"/>
      <c r="R8" s="503">
        <v>3</v>
      </c>
      <c r="S8" s="503"/>
      <c r="T8" s="498">
        <f t="shared" si="2"/>
        <v>3</v>
      </c>
      <c r="U8" s="503"/>
      <c r="V8" s="503"/>
      <c r="W8" s="503"/>
      <c r="X8" s="503">
        <v>132</v>
      </c>
      <c r="Y8" s="503">
        <v>15</v>
      </c>
      <c r="Z8" s="503">
        <v>2</v>
      </c>
      <c r="AA8" s="503">
        <v>372</v>
      </c>
      <c r="AB8" s="503">
        <v>6</v>
      </c>
      <c r="AC8" s="503">
        <v>676.0545</v>
      </c>
      <c r="AD8" s="503">
        <v>9.51</v>
      </c>
    </row>
    <row r="9" spans="1:30" ht="30" customHeight="1">
      <c r="A9" s="503">
        <v>3</v>
      </c>
      <c r="B9" s="506" t="s">
        <v>699</v>
      </c>
      <c r="C9" s="507"/>
      <c r="D9" s="453">
        <v>1</v>
      </c>
      <c r="E9" s="503"/>
      <c r="F9" s="503">
        <v>82.06</v>
      </c>
      <c r="G9" s="503">
        <v>5.2</v>
      </c>
      <c r="H9" s="504">
        <f t="shared" si="0"/>
        <v>87.26</v>
      </c>
      <c r="I9" s="503">
        <v>2583</v>
      </c>
      <c r="J9" s="503">
        <v>40</v>
      </c>
      <c r="K9" s="503">
        <v>1740</v>
      </c>
      <c r="L9" s="503">
        <v>13</v>
      </c>
      <c r="M9" s="498">
        <f t="shared" si="1"/>
        <v>4323</v>
      </c>
      <c r="N9" s="453">
        <f t="shared" si="1"/>
        <v>53</v>
      </c>
      <c r="O9" s="503">
        <v>68</v>
      </c>
      <c r="P9" s="453">
        <v>168</v>
      </c>
      <c r="Q9" s="503"/>
      <c r="R9" s="503">
        <v>2</v>
      </c>
      <c r="S9" s="503"/>
      <c r="T9" s="498">
        <f t="shared" si="2"/>
        <v>2</v>
      </c>
      <c r="U9" s="503"/>
      <c r="V9" s="503"/>
      <c r="W9" s="503"/>
      <c r="X9" s="503">
        <v>154</v>
      </c>
      <c r="Y9" s="503">
        <v>8</v>
      </c>
      <c r="Z9" s="503"/>
      <c r="AA9" s="503">
        <v>102</v>
      </c>
      <c r="AB9" s="503"/>
      <c r="AC9" s="503">
        <v>261.2319</v>
      </c>
      <c r="AD9" s="503">
        <v>8.5</v>
      </c>
    </row>
    <row r="10" spans="1:30" ht="30" customHeight="1">
      <c r="A10" s="453">
        <v>4</v>
      </c>
      <c r="B10" s="505" t="s">
        <v>700</v>
      </c>
      <c r="C10" s="453"/>
      <c r="D10" s="453">
        <v>1</v>
      </c>
      <c r="E10" s="503"/>
      <c r="F10" s="503">
        <v>123.24</v>
      </c>
      <c r="G10" s="503">
        <v>18.92</v>
      </c>
      <c r="H10" s="504">
        <f t="shared" si="0"/>
        <v>142.16</v>
      </c>
      <c r="I10" s="503">
        <v>6924</v>
      </c>
      <c r="J10" s="503">
        <v>95</v>
      </c>
      <c r="K10" s="503">
        <v>3382</v>
      </c>
      <c r="L10" s="503">
        <v>38</v>
      </c>
      <c r="M10" s="498">
        <f t="shared" si="1"/>
        <v>10306</v>
      </c>
      <c r="N10" s="453">
        <f t="shared" si="1"/>
        <v>133</v>
      </c>
      <c r="O10" s="503">
        <v>468</v>
      </c>
      <c r="P10" s="503">
        <v>411</v>
      </c>
      <c r="Q10" s="503"/>
      <c r="R10" s="503">
        <v>6</v>
      </c>
      <c r="S10" s="503"/>
      <c r="T10" s="498">
        <f t="shared" si="2"/>
        <v>6</v>
      </c>
      <c r="U10" s="503"/>
      <c r="V10" s="503"/>
      <c r="W10" s="503"/>
      <c r="X10" s="503">
        <v>131</v>
      </c>
      <c r="Y10" s="503">
        <v>20</v>
      </c>
      <c r="Z10" s="503">
        <v>3</v>
      </c>
      <c r="AA10" s="503">
        <v>396</v>
      </c>
      <c r="AB10" s="503"/>
      <c r="AC10" s="515">
        <v>1121.2622</v>
      </c>
      <c r="AD10" s="503">
        <v>10.3</v>
      </c>
    </row>
    <row r="11" spans="1:30" ht="30" customHeight="1">
      <c r="A11" s="503">
        <v>5</v>
      </c>
      <c r="B11" s="453" t="s">
        <v>701</v>
      </c>
      <c r="C11" s="453"/>
      <c r="D11" s="453"/>
      <c r="E11" s="453">
        <v>1</v>
      </c>
      <c r="F11" s="453">
        <v>0</v>
      </c>
      <c r="G11" s="453">
        <v>3.01</v>
      </c>
      <c r="H11" s="504">
        <f t="shared" si="0"/>
        <v>3.01</v>
      </c>
      <c r="I11" s="453"/>
      <c r="J11" s="453"/>
      <c r="K11" s="453">
        <v>1630</v>
      </c>
      <c r="L11" s="453">
        <v>2</v>
      </c>
      <c r="M11" s="498">
        <f t="shared" si="1"/>
        <v>1630</v>
      </c>
      <c r="N11" s="453">
        <f t="shared" si="1"/>
        <v>2</v>
      </c>
      <c r="O11" s="453">
        <v>6</v>
      </c>
      <c r="P11" s="453">
        <v>6</v>
      </c>
      <c r="Q11" s="453"/>
      <c r="R11" s="453"/>
      <c r="S11" s="453"/>
      <c r="T11" s="498">
        <f t="shared" si="2"/>
        <v>0</v>
      </c>
      <c r="U11" s="453"/>
      <c r="V11" s="453"/>
      <c r="W11" s="453"/>
      <c r="X11" s="453">
        <v>1</v>
      </c>
      <c r="Y11" s="453">
        <v>1</v>
      </c>
      <c r="Z11" s="453"/>
      <c r="AA11" s="453">
        <v>6</v>
      </c>
      <c r="AB11" s="453"/>
      <c r="AC11" s="533">
        <v>0.032</v>
      </c>
      <c r="AD11" s="504"/>
    </row>
    <row r="12" spans="1:30" ht="30" customHeight="1">
      <c r="A12" s="453">
        <v>6</v>
      </c>
      <c r="B12" s="453" t="s">
        <v>702</v>
      </c>
      <c r="C12" s="453"/>
      <c r="D12" s="453"/>
      <c r="E12" s="453">
        <v>1</v>
      </c>
      <c r="F12" s="453">
        <v>0</v>
      </c>
      <c r="G12" s="453">
        <v>1.1</v>
      </c>
      <c r="H12" s="504">
        <f t="shared" si="0"/>
        <v>1.1</v>
      </c>
      <c r="I12" s="453"/>
      <c r="J12" s="453"/>
      <c r="K12" s="453">
        <v>5230</v>
      </c>
      <c r="L12" s="453">
        <v>5</v>
      </c>
      <c r="M12" s="498">
        <f t="shared" si="1"/>
        <v>5230</v>
      </c>
      <c r="N12" s="453">
        <f t="shared" si="1"/>
        <v>5</v>
      </c>
      <c r="O12" s="453">
        <v>15</v>
      </c>
      <c r="P12" s="453">
        <v>15</v>
      </c>
      <c r="Q12" s="453"/>
      <c r="R12" s="453"/>
      <c r="S12" s="453"/>
      <c r="T12" s="498">
        <f t="shared" si="2"/>
        <v>0</v>
      </c>
      <c r="U12" s="453"/>
      <c r="V12" s="453"/>
      <c r="W12" s="453"/>
      <c r="X12" s="453">
        <v>1</v>
      </c>
      <c r="Y12" s="453">
        <v>1</v>
      </c>
      <c r="Z12" s="453"/>
      <c r="AA12" s="453">
        <v>6</v>
      </c>
      <c r="AB12" s="453"/>
      <c r="AC12" s="504"/>
      <c r="AD12" s="504"/>
    </row>
    <row r="13" spans="1:30" ht="30" customHeight="1">
      <c r="A13" s="503">
        <v>7</v>
      </c>
      <c r="B13" s="508" t="s">
        <v>703</v>
      </c>
      <c r="C13" s="453"/>
      <c r="D13" s="503"/>
      <c r="E13" s="453">
        <v>1</v>
      </c>
      <c r="F13" s="503">
        <v>3.08</v>
      </c>
      <c r="G13" s="503">
        <v>10.8</v>
      </c>
      <c r="H13" s="504">
        <v>13.88</v>
      </c>
      <c r="I13" s="503">
        <v>125</v>
      </c>
      <c r="J13" s="503">
        <v>1</v>
      </c>
      <c r="K13" s="503">
        <v>3875</v>
      </c>
      <c r="L13" s="503">
        <v>18</v>
      </c>
      <c r="M13" s="498">
        <f t="shared" si="1"/>
        <v>4000</v>
      </c>
      <c r="N13" s="453">
        <f t="shared" si="1"/>
        <v>19</v>
      </c>
      <c r="O13" s="503">
        <v>69</v>
      </c>
      <c r="P13" s="453">
        <v>57</v>
      </c>
      <c r="Q13" s="503"/>
      <c r="R13" s="503">
        <v>4</v>
      </c>
      <c r="S13" s="503"/>
      <c r="T13" s="498">
        <f t="shared" si="2"/>
        <v>4</v>
      </c>
      <c r="U13" s="503"/>
      <c r="V13" s="503"/>
      <c r="W13" s="503"/>
      <c r="X13" s="503">
        <v>20</v>
      </c>
      <c r="Y13" s="503">
        <v>16</v>
      </c>
      <c r="Z13" s="503">
        <v>8</v>
      </c>
      <c r="AA13" s="503">
        <v>60</v>
      </c>
      <c r="AB13" s="503">
        <v>24</v>
      </c>
      <c r="AC13" s="515">
        <v>1906.0871</v>
      </c>
      <c r="AD13" s="503">
        <v>3.99</v>
      </c>
    </row>
    <row r="14" spans="1:30" ht="30" customHeight="1">
      <c r="A14" s="453">
        <v>8</v>
      </c>
      <c r="B14" s="508" t="s">
        <v>600</v>
      </c>
      <c r="C14" s="453">
        <v>1</v>
      </c>
      <c r="D14" s="503"/>
      <c r="E14" s="503"/>
      <c r="F14" s="503">
        <v>5.369</v>
      </c>
      <c r="G14" s="503">
        <v>1.87</v>
      </c>
      <c r="H14" s="504">
        <f aca="true" t="shared" si="3" ref="H14:H53">G14+F14</f>
        <v>7.239</v>
      </c>
      <c r="I14" s="503">
        <v>3360</v>
      </c>
      <c r="J14" s="503">
        <v>15</v>
      </c>
      <c r="K14" s="503">
        <v>9795</v>
      </c>
      <c r="L14" s="503">
        <v>35</v>
      </c>
      <c r="M14" s="498">
        <f t="shared" si="1"/>
        <v>13155</v>
      </c>
      <c r="N14" s="453">
        <f t="shared" si="1"/>
        <v>50</v>
      </c>
      <c r="O14" s="503">
        <v>123</v>
      </c>
      <c r="P14" s="453">
        <v>123</v>
      </c>
      <c r="Q14" s="503"/>
      <c r="R14" s="503">
        <v>11</v>
      </c>
      <c r="S14" s="503"/>
      <c r="T14" s="498">
        <f t="shared" si="2"/>
        <v>11</v>
      </c>
      <c r="U14" s="503"/>
      <c r="V14" s="503"/>
      <c r="W14" s="503"/>
      <c r="X14" s="503">
        <v>41</v>
      </c>
      <c r="Y14" s="503">
        <v>23</v>
      </c>
      <c r="Z14" s="503">
        <v>10</v>
      </c>
      <c r="AA14" s="503">
        <v>114</v>
      </c>
      <c r="AB14" s="503">
        <v>9</v>
      </c>
      <c r="AC14" s="515">
        <v>1537.2363</v>
      </c>
      <c r="AD14" s="503">
        <v>2.96</v>
      </c>
    </row>
    <row r="15" spans="1:30" ht="30" customHeight="1">
      <c r="A15" s="503">
        <v>9</v>
      </c>
      <c r="B15" s="496" t="s">
        <v>704</v>
      </c>
      <c r="C15" s="453">
        <v>1</v>
      </c>
      <c r="D15" s="503"/>
      <c r="E15" s="503"/>
      <c r="F15" s="496">
        <v>20.4</v>
      </c>
      <c r="G15" s="509">
        <v>1.9</v>
      </c>
      <c r="H15" s="504">
        <f t="shared" si="3"/>
        <v>22.299999999999997</v>
      </c>
      <c r="I15" s="503">
        <v>7515</v>
      </c>
      <c r="J15" s="503">
        <v>36</v>
      </c>
      <c r="K15" s="503">
        <v>12014</v>
      </c>
      <c r="L15" s="503">
        <v>39</v>
      </c>
      <c r="M15" s="498">
        <f t="shared" si="1"/>
        <v>19529</v>
      </c>
      <c r="N15" s="453">
        <f t="shared" si="1"/>
        <v>75</v>
      </c>
      <c r="O15" s="503">
        <v>222</v>
      </c>
      <c r="P15" s="503">
        <v>231</v>
      </c>
      <c r="Q15" s="503">
        <v>1</v>
      </c>
      <c r="R15" s="503">
        <v>7</v>
      </c>
      <c r="S15" s="503"/>
      <c r="T15" s="498">
        <f t="shared" si="2"/>
        <v>8</v>
      </c>
      <c r="U15" s="503"/>
      <c r="V15" s="503"/>
      <c r="W15" s="503"/>
      <c r="X15" s="503"/>
      <c r="Y15" s="503"/>
      <c r="Z15" s="503">
        <v>9</v>
      </c>
      <c r="AA15" s="503">
        <v>210</v>
      </c>
      <c r="AB15" s="503"/>
      <c r="AC15" s="503">
        <v>1945.3074</v>
      </c>
      <c r="AD15" s="503">
        <v>4.86</v>
      </c>
    </row>
    <row r="16" spans="1:30" ht="30" customHeight="1">
      <c r="A16" s="453">
        <v>10</v>
      </c>
      <c r="B16" s="508" t="s">
        <v>705</v>
      </c>
      <c r="C16" s="453">
        <v>1</v>
      </c>
      <c r="D16" s="453"/>
      <c r="E16" s="453"/>
      <c r="F16" s="453">
        <v>6.657</v>
      </c>
      <c r="G16" s="453">
        <v>3.861</v>
      </c>
      <c r="H16" s="504">
        <f t="shared" si="3"/>
        <v>10.518</v>
      </c>
      <c r="I16" s="453">
        <v>4910</v>
      </c>
      <c r="J16" s="453">
        <v>34</v>
      </c>
      <c r="K16" s="453">
        <v>14040</v>
      </c>
      <c r="L16" s="453">
        <v>35</v>
      </c>
      <c r="M16" s="498">
        <f t="shared" si="1"/>
        <v>18950</v>
      </c>
      <c r="N16" s="453">
        <f t="shared" si="1"/>
        <v>69</v>
      </c>
      <c r="O16" s="453">
        <v>162</v>
      </c>
      <c r="P16" s="453">
        <v>162</v>
      </c>
      <c r="Q16" s="453"/>
      <c r="R16" s="453">
        <v>12</v>
      </c>
      <c r="S16" s="453"/>
      <c r="T16" s="498">
        <f t="shared" si="2"/>
        <v>12</v>
      </c>
      <c r="U16" s="453"/>
      <c r="V16" s="453"/>
      <c r="W16" s="453"/>
      <c r="X16" s="453">
        <v>54</v>
      </c>
      <c r="Y16" s="453">
        <v>31</v>
      </c>
      <c r="Z16" s="453">
        <v>12</v>
      </c>
      <c r="AA16" s="453">
        <v>147</v>
      </c>
      <c r="AB16" s="453">
        <v>8</v>
      </c>
      <c r="AC16" s="453">
        <v>2023.1828</v>
      </c>
      <c r="AD16" s="453">
        <v>3.15</v>
      </c>
    </row>
    <row r="17" spans="1:30" ht="30" customHeight="1">
      <c r="A17" s="503">
        <v>11</v>
      </c>
      <c r="B17" s="508" t="s">
        <v>706</v>
      </c>
      <c r="C17" s="453"/>
      <c r="D17" s="503">
        <v>1</v>
      </c>
      <c r="E17" s="503"/>
      <c r="F17" s="503">
        <v>137.36</v>
      </c>
      <c r="G17" s="503">
        <v>1.44</v>
      </c>
      <c r="H17" s="504">
        <f t="shared" si="3"/>
        <v>138.8</v>
      </c>
      <c r="I17" s="503">
        <v>4220</v>
      </c>
      <c r="J17" s="503">
        <v>61</v>
      </c>
      <c r="K17" s="503">
        <v>2924</v>
      </c>
      <c r="L17" s="503">
        <v>25</v>
      </c>
      <c r="M17" s="498">
        <f t="shared" si="1"/>
        <v>7144</v>
      </c>
      <c r="N17" s="453">
        <f t="shared" si="1"/>
        <v>86</v>
      </c>
      <c r="O17" s="503">
        <v>274</v>
      </c>
      <c r="P17" s="453">
        <v>258</v>
      </c>
      <c r="Q17" s="503"/>
      <c r="R17" s="503">
        <v>2</v>
      </c>
      <c r="S17" s="503"/>
      <c r="T17" s="498">
        <f t="shared" si="2"/>
        <v>2</v>
      </c>
      <c r="U17" s="503"/>
      <c r="V17" s="503"/>
      <c r="W17" s="503"/>
      <c r="X17" s="503">
        <v>86</v>
      </c>
      <c r="Y17" s="503">
        <v>5</v>
      </c>
      <c r="Z17" s="503"/>
      <c r="AA17" s="503">
        <v>244</v>
      </c>
      <c r="AB17" s="503">
        <v>5</v>
      </c>
      <c r="AC17" s="515">
        <v>892.93</v>
      </c>
      <c r="AD17" s="503">
        <v>11.17</v>
      </c>
    </row>
    <row r="18" spans="1:30" ht="30" customHeight="1">
      <c r="A18" s="453">
        <v>12</v>
      </c>
      <c r="B18" s="508" t="s">
        <v>707</v>
      </c>
      <c r="C18" s="453"/>
      <c r="D18" s="509">
        <v>1</v>
      </c>
      <c r="E18" s="509"/>
      <c r="F18" s="509">
        <v>43.15</v>
      </c>
      <c r="G18" s="509">
        <v>16.65</v>
      </c>
      <c r="H18" s="504">
        <f t="shared" si="3"/>
        <v>59.8</v>
      </c>
      <c r="I18" s="509">
        <v>2724</v>
      </c>
      <c r="J18" s="509">
        <v>42</v>
      </c>
      <c r="K18" s="509">
        <v>3717</v>
      </c>
      <c r="L18" s="509">
        <v>32</v>
      </c>
      <c r="M18" s="498">
        <f t="shared" si="1"/>
        <v>6441</v>
      </c>
      <c r="N18" s="453">
        <f t="shared" si="1"/>
        <v>74</v>
      </c>
      <c r="O18" s="509">
        <v>12</v>
      </c>
      <c r="P18" s="509">
        <v>12</v>
      </c>
      <c r="Q18" s="509"/>
      <c r="R18" s="509">
        <v>3</v>
      </c>
      <c r="S18" s="509"/>
      <c r="T18" s="498">
        <f t="shared" si="2"/>
        <v>3</v>
      </c>
      <c r="U18" s="509"/>
      <c r="V18" s="509"/>
      <c r="W18" s="509"/>
      <c r="X18" s="509">
        <v>3</v>
      </c>
      <c r="Y18" s="509"/>
      <c r="Z18" s="509">
        <v>3</v>
      </c>
      <c r="AA18" s="509">
        <v>3</v>
      </c>
      <c r="AB18" s="509">
        <v>3</v>
      </c>
      <c r="AC18" s="509">
        <v>669.51</v>
      </c>
      <c r="AD18" s="509">
        <v>7.2</v>
      </c>
    </row>
    <row r="19" spans="1:30" ht="30" customHeight="1">
      <c r="A19" s="503">
        <v>13</v>
      </c>
      <c r="B19" s="453" t="s">
        <v>636</v>
      </c>
      <c r="C19" s="453"/>
      <c r="D19" s="453"/>
      <c r="E19" s="453">
        <v>1</v>
      </c>
      <c r="F19" s="453">
        <v>0</v>
      </c>
      <c r="G19" s="453">
        <v>2.6</v>
      </c>
      <c r="H19" s="504">
        <f t="shared" si="3"/>
        <v>2.6</v>
      </c>
      <c r="I19" s="453">
        <v>400</v>
      </c>
      <c r="J19" s="453">
        <v>1</v>
      </c>
      <c r="K19" s="453">
        <v>1125</v>
      </c>
      <c r="L19" s="453">
        <v>3</v>
      </c>
      <c r="M19" s="498">
        <f t="shared" si="1"/>
        <v>1525</v>
      </c>
      <c r="N19" s="453">
        <f t="shared" si="1"/>
        <v>4</v>
      </c>
      <c r="O19" s="453">
        <v>12</v>
      </c>
      <c r="P19" s="453">
        <v>12</v>
      </c>
      <c r="Q19" s="453"/>
      <c r="R19" s="453"/>
      <c r="S19" s="453"/>
      <c r="T19" s="498">
        <f t="shared" si="2"/>
        <v>0</v>
      </c>
      <c r="U19" s="453"/>
      <c r="V19" s="453"/>
      <c r="W19" s="453"/>
      <c r="X19" s="453">
        <v>1</v>
      </c>
      <c r="Y19" s="453">
        <v>1</v>
      </c>
      <c r="Z19" s="453"/>
      <c r="AA19" s="453">
        <v>3</v>
      </c>
      <c r="AB19" s="453"/>
      <c r="AC19" s="534">
        <v>133.534</v>
      </c>
      <c r="AD19" s="504"/>
    </row>
    <row r="20" spans="1:30" ht="30" customHeight="1">
      <c r="A20" s="453">
        <v>14</v>
      </c>
      <c r="B20" s="508" t="s">
        <v>708</v>
      </c>
      <c r="C20" s="453"/>
      <c r="D20" s="503">
        <v>1</v>
      </c>
      <c r="E20" s="503"/>
      <c r="F20" s="503">
        <v>62.99</v>
      </c>
      <c r="G20" s="503">
        <v>2.23</v>
      </c>
      <c r="H20" s="504">
        <f t="shared" si="3"/>
        <v>65.22</v>
      </c>
      <c r="I20" s="503">
        <v>3383</v>
      </c>
      <c r="J20" s="503">
        <v>47</v>
      </c>
      <c r="K20" s="503">
        <v>2910</v>
      </c>
      <c r="L20" s="503">
        <v>17</v>
      </c>
      <c r="M20" s="498">
        <f t="shared" si="1"/>
        <v>6293</v>
      </c>
      <c r="N20" s="453">
        <f t="shared" si="1"/>
        <v>64</v>
      </c>
      <c r="O20" s="503">
        <v>219</v>
      </c>
      <c r="P20" s="453">
        <v>207</v>
      </c>
      <c r="Q20" s="503"/>
      <c r="R20" s="503">
        <v>4</v>
      </c>
      <c r="S20" s="503"/>
      <c r="T20" s="498">
        <f t="shared" si="2"/>
        <v>4</v>
      </c>
      <c r="U20" s="503"/>
      <c r="V20" s="503"/>
      <c r="W20" s="503"/>
      <c r="X20" s="503">
        <v>63</v>
      </c>
      <c r="Y20" s="503">
        <v>3</v>
      </c>
      <c r="Z20" s="503"/>
      <c r="AA20" s="503">
        <v>153</v>
      </c>
      <c r="AB20" s="503"/>
      <c r="AC20" s="503">
        <v>530.56</v>
      </c>
      <c r="AD20" s="503">
        <v>7.6</v>
      </c>
    </row>
    <row r="21" spans="1:30" ht="30" customHeight="1">
      <c r="A21" s="503">
        <v>15</v>
      </c>
      <c r="B21" s="508" t="s">
        <v>709</v>
      </c>
      <c r="C21" s="453"/>
      <c r="D21" s="503">
        <v>1</v>
      </c>
      <c r="E21" s="503"/>
      <c r="F21" s="503">
        <v>85.7</v>
      </c>
      <c r="G21" s="503">
        <v>1.65</v>
      </c>
      <c r="H21" s="504">
        <f t="shared" si="3"/>
        <v>87.35000000000001</v>
      </c>
      <c r="I21" s="503">
        <v>2329</v>
      </c>
      <c r="J21" s="503">
        <v>44</v>
      </c>
      <c r="K21" s="503">
        <v>570</v>
      </c>
      <c r="L21" s="503">
        <v>15</v>
      </c>
      <c r="M21" s="498">
        <f>K21+I21</f>
        <v>2899</v>
      </c>
      <c r="N21" s="453">
        <f t="shared" si="1"/>
        <v>59</v>
      </c>
      <c r="O21" s="503">
        <v>216</v>
      </c>
      <c r="P21" s="453">
        <v>183</v>
      </c>
      <c r="Q21" s="503"/>
      <c r="R21" s="503">
        <v>3</v>
      </c>
      <c r="S21" s="503"/>
      <c r="T21" s="498">
        <f t="shared" si="2"/>
        <v>3</v>
      </c>
      <c r="U21" s="503"/>
      <c r="V21" s="503"/>
      <c r="W21" s="503"/>
      <c r="X21" s="503">
        <v>57</v>
      </c>
      <c r="Y21" s="503">
        <v>0</v>
      </c>
      <c r="Z21" s="503">
        <v>3</v>
      </c>
      <c r="AA21" s="503">
        <v>144</v>
      </c>
      <c r="AB21" s="503"/>
      <c r="AC21" s="503">
        <v>228.2514</v>
      </c>
      <c r="AD21" s="503">
        <v>10.31</v>
      </c>
    </row>
    <row r="22" spans="1:30" ht="30" customHeight="1">
      <c r="A22" s="453">
        <v>16</v>
      </c>
      <c r="B22" s="453" t="s">
        <v>710</v>
      </c>
      <c r="C22" s="453"/>
      <c r="D22" s="503">
        <v>1</v>
      </c>
      <c r="E22" s="453"/>
      <c r="F22" s="503">
        <v>19.5</v>
      </c>
      <c r="G22" s="503"/>
      <c r="H22" s="504">
        <f t="shared" si="3"/>
        <v>19.5</v>
      </c>
      <c r="I22" s="503">
        <v>2085</v>
      </c>
      <c r="J22" s="503">
        <v>28</v>
      </c>
      <c r="K22" s="503">
        <v>3048</v>
      </c>
      <c r="L22" s="503">
        <v>19</v>
      </c>
      <c r="M22" s="498">
        <f t="shared" si="1"/>
        <v>5133</v>
      </c>
      <c r="N22" s="453">
        <f t="shared" si="1"/>
        <v>47</v>
      </c>
      <c r="O22" s="503">
        <v>141</v>
      </c>
      <c r="P22" s="503">
        <v>141</v>
      </c>
      <c r="Q22" s="503"/>
      <c r="R22" s="503">
        <v>5</v>
      </c>
      <c r="S22" s="503"/>
      <c r="T22" s="498">
        <f t="shared" si="2"/>
        <v>5</v>
      </c>
      <c r="U22" s="503"/>
      <c r="V22" s="503"/>
      <c r="W22" s="503"/>
      <c r="X22" s="503">
        <v>272</v>
      </c>
      <c r="Y22" s="503">
        <v>12</v>
      </c>
      <c r="Z22" s="503">
        <v>2</v>
      </c>
      <c r="AA22" s="503">
        <v>84</v>
      </c>
      <c r="AB22" s="503"/>
      <c r="AC22" s="503">
        <v>835.4984</v>
      </c>
      <c r="AD22" s="503">
        <v>7.01</v>
      </c>
    </row>
    <row r="23" spans="1:30" ht="30" customHeight="1">
      <c r="A23" s="503">
        <v>17</v>
      </c>
      <c r="B23" s="503" t="s">
        <v>711</v>
      </c>
      <c r="C23" s="453"/>
      <c r="D23" s="503">
        <v>1</v>
      </c>
      <c r="E23" s="503"/>
      <c r="F23" s="503">
        <v>94.6</v>
      </c>
      <c r="G23" s="503">
        <v>3.42</v>
      </c>
      <c r="H23" s="504">
        <f t="shared" si="3"/>
        <v>98.02</v>
      </c>
      <c r="I23" s="503">
        <v>4001</v>
      </c>
      <c r="J23" s="503">
        <v>78</v>
      </c>
      <c r="K23" s="503">
        <v>3445</v>
      </c>
      <c r="L23" s="503">
        <v>31</v>
      </c>
      <c r="M23" s="498">
        <f t="shared" si="1"/>
        <v>7446</v>
      </c>
      <c r="N23" s="453">
        <f t="shared" si="1"/>
        <v>109</v>
      </c>
      <c r="O23" s="503">
        <v>486</v>
      </c>
      <c r="P23" s="503">
        <v>351</v>
      </c>
      <c r="Q23" s="503">
        <v>1</v>
      </c>
      <c r="R23" s="503">
        <v>4</v>
      </c>
      <c r="S23" s="503"/>
      <c r="T23" s="498">
        <f t="shared" si="2"/>
        <v>5</v>
      </c>
      <c r="U23" s="503"/>
      <c r="V23" s="503"/>
      <c r="W23" s="503"/>
      <c r="X23" s="503">
        <v>103</v>
      </c>
      <c r="Y23" s="503">
        <v>12</v>
      </c>
      <c r="Z23" s="503">
        <v>3</v>
      </c>
      <c r="AA23" s="503">
        <v>194</v>
      </c>
      <c r="AB23" s="503">
        <v>9</v>
      </c>
      <c r="AC23" s="503">
        <v>943.1649</v>
      </c>
      <c r="AD23" s="503">
        <v>11.03</v>
      </c>
    </row>
    <row r="24" spans="1:30" ht="30" customHeight="1">
      <c r="A24" s="453">
        <v>18</v>
      </c>
      <c r="B24" s="503" t="s">
        <v>712</v>
      </c>
      <c r="C24" s="453"/>
      <c r="D24" s="503"/>
      <c r="E24" s="503"/>
      <c r="F24" s="453">
        <v>6.48</v>
      </c>
      <c r="G24" s="453"/>
      <c r="H24" s="504">
        <f t="shared" si="3"/>
        <v>6.48</v>
      </c>
      <c r="I24" s="453">
        <v>203</v>
      </c>
      <c r="J24" s="453">
        <v>5</v>
      </c>
      <c r="K24" s="453">
        <v>260</v>
      </c>
      <c r="L24" s="453">
        <v>2</v>
      </c>
      <c r="M24" s="498">
        <f t="shared" si="1"/>
        <v>463</v>
      </c>
      <c r="N24" s="453">
        <f t="shared" si="1"/>
        <v>7</v>
      </c>
      <c r="O24" s="453">
        <v>21</v>
      </c>
      <c r="P24" s="453">
        <v>21</v>
      </c>
      <c r="Q24" s="453"/>
      <c r="R24" s="453"/>
      <c r="S24" s="453"/>
      <c r="T24" s="498">
        <f t="shared" si="2"/>
        <v>0</v>
      </c>
      <c r="U24" s="453"/>
      <c r="V24" s="453"/>
      <c r="W24" s="453"/>
      <c r="X24" s="453"/>
      <c r="Y24" s="453"/>
      <c r="Z24" s="453"/>
      <c r="AA24" s="453">
        <v>21</v>
      </c>
      <c r="AB24" s="453"/>
      <c r="AC24" s="453">
        <v>69.6</v>
      </c>
      <c r="AD24" s="453">
        <v>5</v>
      </c>
    </row>
    <row r="25" spans="1:30" ht="30" customHeight="1">
      <c r="A25" s="503">
        <v>19</v>
      </c>
      <c r="B25" s="453" t="s">
        <v>713</v>
      </c>
      <c r="C25" s="453"/>
      <c r="D25" s="503">
        <v>1</v>
      </c>
      <c r="E25" s="503"/>
      <c r="F25" s="503">
        <v>78.21</v>
      </c>
      <c r="G25" s="503">
        <v>1.2</v>
      </c>
      <c r="H25" s="504">
        <f t="shared" si="3"/>
        <v>79.41</v>
      </c>
      <c r="I25" s="503">
        <v>1040</v>
      </c>
      <c r="J25" s="503">
        <v>25</v>
      </c>
      <c r="K25" s="503">
        <v>1963</v>
      </c>
      <c r="L25" s="503">
        <v>16</v>
      </c>
      <c r="M25" s="498">
        <f t="shared" si="1"/>
        <v>3003</v>
      </c>
      <c r="N25" s="453">
        <f t="shared" si="1"/>
        <v>41</v>
      </c>
      <c r="O25" s="503">
        <v>108</v>
      </c>
      <c r="P25" s="453">
        <v>99</v>
      </c>
      <c r="Q25" s="503"/>
      <c r="R25" s="503">
        <v>3</v>
      </c>
      <c r="S25" s="503"/>
      <c r="T25" s="498">
        <f t="shared" si="2"/>
        <v>3</v>
      </c>
      <c r="U25" s="503"/>
      <c r="V25" s="503"/>
      <c r="W25" s="503"/>
      <c r="X25" s="503">
        <v>41</v>
      </c>
      <c r="Y25" s="503">
        <v>2</v>
      </c>
      <c r="Z25" s="503"/>
      <c r="AA25" s="503">
        <v>6</v>
      </c>
      <c r="AB25" s="503">
        <v>3</v>
      </c>
      <c r="AC25" s="503">
        <v>384.0182</v>
      </c>
      <c r="AD25" s="503">
        <v>7.92</v>
      </c>
    </row>
    <row r="26" spans="1:30" ht="30" customHeight="1">
      <c r="A26" s="453">
        <v>20</v>
      </c>
      <c r="B26" s="453" t="s">
        <v>714</v>
      </c>
      <c r="C26" s="453"/>
      <c r="D26" s="503">
        <v>1</v>
      </c>
      <c r="E26" s="453"/>
      <c r="F26" s="453">
        <v>17.14</v>
      </c>
      <c r="G26" s="453"/>
      <c r="H26" s="504">
        <f t="shared" si="3"/>
        <v>17.14</v>
      </c>
      <c r="I26" s="453">
        <v>343</v>
      </c>
      <c r="J26" s="453">
        <v>11</v>
      </c>
      <c r="K26" s="453"/>
      <c r="L26" s="453"/>
      <c r="M26" s="498">
        <f t="shared" si="1"/>
        <v>343</v>
      </c>
      <c r="N26" s="453">
        <f t="shared" si="1"/>
        <v>11</v>
      </c>
      <c r="O26" s="453">
        <v>33</v>
      </c>
      <c r="P26" s="453">
        <v>33</v>
      </c>
      <c r="Q26" s="453"/>
      <c r="R26" s="453"/>
      <c r="S26" s="453"/>
      <c r="T26" s="498">
        <f t="shared" si="2"/>
        <v>0</v>
      </c>
      <c r="U26" s="453"/>
      <c r="V26" s="453"/>
      <c r="W26" s="453"/>
      <c r="X26" s="453">
        <v>9</v>
      </c>
      <c r="Y26" s="453"/>
      <c r="Z26" s="453"/>
      <c r="AA26" s="453">
        <v>66</v>
      </c>
      <c r="AB26" s="453"/>
      <c r="AC26" s="504">
        <v>19.0685</v>
      </c>
      <c r="AD26" s="504">
        <v>8.71</v>
      </c>
    </row>
    <row r="27" spans="1:30" ht="30" customHeight="1">
      <c r="A27" s="503">
        <v>21</v>
      </c>
      <c r="B27" s="453" t="s">
        <v>715</v>
      </c>
      <c r="C27" s="453"/>
      <c r="D27" s="503">
        <v>1</v>
      </c>
      <c r="E27" s="453"/>
      <c r="F27" s="453">
        <v>27.3</v>
      </c>
      <c r="G27" s="453"/>
      <c r="H27" s="504">
        <f t="shared" si="3"/>
        <v>27.3</v>
      </c>
      <c r="I27" s="453">
        <v>570</v>
      </c>
      <c r="J27" s="453">
        <v>16</v>
      </c>
      <c r="K27" s="453">
        <v>50</v>
      </c>
      <c r="L27" s="453">
        <v>1</v>
      </c>
      <c r="M27" s="498">
        <f t="shared" si="1"/>
        <v>620</v>
      </c>
      <c r="N27" s="453">
        <f t="shared" si="1"/>
        <v>17</v>
      </c>
      <c r="O27" s="453">
        <v>51</v>
      </c>
      <c r="P27" s="453">
        <v>51</v>
      </c>
      <c r="Q27" s="453"/>
      <c r="R27" s="453"/>
      <c r="S27" s="453"/>
      <c r="T27" s="498">
        <f t="shared" si="2"/>
        <v>0</v>
      </c>
      <c r="U27" s="453"/>
      <c r="V27" s="453"/>
      <c r="W27" s="453"/>
      <c r="X27" s="453">
        <v>15</v>
      </c>
      <c r="Y27" s="453"/>
      <c r="Z27" s="453"/>
      <c r="AA27" s="453">
        <v>45</v>
      </c>
      <c r="AB27" s="453"/>
      <c r="AC27" s="504">
        <v>48.0422</v>
      </c>
      <c r="AD27" s="504">
        <v>8.7</v>
      </c>
    </row>
    <row r="28" spans="1:30" ht="30" customHeight="1">
      <c r="A28" s="453">
        <v>22</v>
      </c>
      <c r="B28" s="453" t="s">
        <v>716</v>
      </c>
      <c r="C28" s="453"/>
      <c r="D28" s="503">
        <v>1</v>
      </c>
      <c r="E28" s="453"/>
      <c r="F28" s="453">
        <v>87.5</v>
      </c>
      <c r="G28" s="453"/>
      <c r="H28" s="504">
        <f t="shared" si="3"/>
        <v>87.5</v>
      </c>
      <c r="I28" s="453">
        <v>1265</v>
      </c>
      <c r="J28" s="453">
        <v>31</v>
      </c>
      <c r="K28" s="453">
        <v>310</v>
      </c>
      <c r="L28" s="453">
        <v>5</v>
      </c>
      <c r="M28" s="498">
        <f t="shared" si="1"/>
        <v>1575</v>
      </c>
      <c r="N28" s="453">
        <f t="shared" si="1"/>
        <v>36</v>
      </c>
      <c r="O28" s="453">
        <v>84</v>
      </c>
      <c r="P28" s="453">
        <v>84</v>
      </c>
      <c r="Q28" s="453"/>
      <c r="R28" s="453"/>
      <c r="S28" s="453"/>
      <c r="T28" s="498">
        <f t="shared" si="2"/>
        <v>0</v>
      </c>
      <c r="U28" s="453"/>
      <c r="V28" s="453"/>
      <c r="W28" s="453"/>
      <c r="X28" s="453">
        <v>6</v>
      </c>
      <c r="Y28" s="453"/>
      <c r="Z28" s="453"/>
      <c r="AA28" s="453">
        <v>12</v>
      </c>
      <c r="AB28" s="453"/>
      <c r="AC28" s="504">
        <v>446.046</v>
      </c>
      <c r="AD28" s="504">
        <v>9.4</v>
      </c>
    </row>
    <row r="29" spans="1:30" ht="30" customHeight="1">
      <c r="A29" s="503">
        <v>23</v>
      </c>
      <c r="B29" s="453" t="s">
        <v>717</v>
      </c>
      <c r="C29" s="453"/>
      <c r="D29" s="453"/>
      <c r="E29" s="453">
        <v>1</v>
      </c>
      <c r="F29" s="453">
        <v>11.14</v>
      </c>
      <c r="G29" s="453"/>
      <c r="H29" s="504">
        <f t="shared" si="3"/>
        <v>11.14</v>
      </c>
      <c r="I29" s="453"/>
      <c r="J29" s="453"/>
      <c r="K29" s="453">
        <v>1400</v>
      </c>
      <c r="L29" s="453">
        <v>7</v>
      </c>
      <c r="M29" s="498">
        <f t="shared" si="1"/>
        <v>1400</v>
      </c>
      <c r="N29" s="453">
        <f t="shared" si="1"/>
        <v>7</v>
      </c>
      <c r="O29" s="453"/>
      <c r="P29" s="453">
        <v>9</v>
      </c>
      <c r="Q29" s="453"/>
      <c r="R29" s="453"/>
      <c r="S29" s="453"/>
      <c r="T29" s="498">
        <f t="shared" si="2"/>
        <v>0</v>
      </c>
      <c r="U29" s="453"/>
      <c r="V29" s="453"/>
      <c r="W29" s="453"/>
      <c r="X29" s="453">
        <v>1</v>
      </c>
      <c r="Y29" s="453">
        <v>1</v>
      </c>
      <c r="Z29" s="453"/>
      <c r="AA29" s="453">
        <v>3</v>
      </c>
      <c r="AB29" s="453"/>
      <c r="AC29" s="504">
        <v>111.042</v>
      </c>
      <c r="AD29" s="504"/>
    </row>
    <row r="30" spans="1:30" ht="30" customHeight="1">
      <c r="A30" s="453">
        <v>24</v>
      </c>
      <c r="B30" s="453" t="s">
        <v>718</v>
      </c>
      <c r="C30" s="453"/>
      <c r="D30" s="453"/>
      <c r="E30" s="453">
        <v>1</v>
      </c>
      <c r="F30" s="453">
        <v>0</v>
      </c>
      <c r="G30" s="453">
        <v>5.08</v>
      </c>
      <c r="H30" s="504">
        <f t="shared" si="3"/>
        <v>5.08</v>
      </c>
      <c r="I30" s="453"/>
      <c r="J30" s="453"/>
      <c r="K30" s="453">
        <v>80</v>
      </c>
      <c r="L30" s="453">
        <v>1</v>
      </c>
      <c r="M30" s="498">
        <f t="shared" si="1"/>
        <v>80</v>
      </c>
      <c r="N30" s="453">
        <f t="shared" si="1"/>
        <v>1</v>
      </c>
      <c r="O30" s="453">
        <v>3</v>
      </c>
      <c r="P30" s="453">
        <v>3</v>
      </c>
      <c r="Q30" s="453"/>
      <c r="R30" s="453"/>
      <c r="S30" s="453"/>
      <c r="T30" s="498">
        <f t="shared" si="2"/>
        <v>0</v>
      </c>
      <c r="U30" s="453"/>
      <c r="V30" s="453"/>
      <c r="W30" s="453"/>
      <c r="X30" s="453">
        <v>1</v>
      </c>
      <c r="Y30" s="453">
        <v>1</v>
      </c>
      <c r="Z30" s="453"/>
      <c r="AA30" s="453">
        <v>90</v>
      </c>
      <c r="AB30" s="453"/>
      <c r="AC30" s="534">
        <v>3.4635</v>
      </c>
      <c r="AD30" s="504"/>
    </row>
    <row r="31" spans="1:30" ht="30" customHeight="1">
      <c r="A31" s="503">
        <v>25</v>
      </c>
      <c r="B31" s="508" t="s">
        <v>719</v>
      </c>
      <c r="C31" s="453"/>
      <c r="D31" s="503">
        <v>1</v>
      </c>
      <c r="E31" s="503"/>
      <c r="F31" s="503">
        <v>101.38</v>
      </c>
      <c r="G31" s="503">
        <v>1.9</v>
      </c>
      <c r="H31" s="504">
        <f t="shared" si="3"/>
        <v>103.28</v>
      </c>
      <c r="I31" s="503">
        <v>1390</v>
      </c>
      <c r="J31" s="503">
        <v>32</v>
      </c>
      <c r="K31" s="503">
        <v>600</v>
      </c>
      <c r="L31" s="503">
        <v>8</v>
      </c>
      <c r="M31" s="498">
        <f t="shared" si="1"/>
        <v>1990</v>
      </c>
      <c r="N31" s="453">
        <f t="shared" si="1"/>
        <v>40</v>
      </c>
      <c r="O31" s="503">
        <v>132</v>
      </c>
      <c r="P31" s="453">
        <v>114</v>
      </c>
      <c r="Q31" s="503"/>
      <c r="R31" s="503"/>
      <c r="S31" s="503"/>
      <c r="T31" s="498">
        <f t="shared" si="2"/>
        <v>0</v>
      </c>
      <c r="U31" s="503"/>
      <c r="V31" s="503"/>
      <c r="W31" s="503"/>
      <c r="X31" s="503">
        <v>40</v>
      </c>
      <c r="Y31" s="503">
        <v>3</v>
      </c>
      <c r="Z31" s="503"/>
      <c r="AA31" s="503">
        <v>42</v>
      </c>
      <c r="AB31" s="503">
        <v>3</v>
      </c>
      <c r="AC31" s="503">
        <v>169.7466</v>
      </c>
      <c r="AD31" s="503">
        <v>8.24</v>
      </c>
    </row>
    <row r="32" spans="1:30" ht="30" customHeight="1">
      <c r="A32" s="453">
        <v>26</v>
      </c>
      <c r="B32" s="503" t="s">
        <v>720</v>
      </c>
      <c r="C32" s="453"/>
      <c r="D32" s="503">
        <v>1</v>
      </c>
      <c r="E32" s="503"/>
      <c r="F32" s="503">
        <v>73.5</v>
      </c>
      <c r="G32" s="503"/>
      <c r="H32" s="504">
        <f t="shared" si="3"/>
        <v>73.5</v>
      </c>
      <c r="I32" s="503">
        <v>720</v>
      </c>
      <c r="J32" s="503">
        <v>21</v>
      </c>
      <c r="K32" s="503">
        <v>145</v>
      </c>
      <c r="L32" s="503">
        <v>3</v>
      </c>
      <c r="M32" s="498">
        <f t="shared" si="1"/>
        <v>865</v>
      </c>
      <c r="N32" s="453">
        <f t="shared" si="1"/>
        <v>24</v>
      </c>
      <c r="O32" s="453">
        <v>93</v>
      </c>
      <c r="P32" s="453">
        <v>90</v>
      </c>
      <c r="Q32" s="503"/>
      <c r="R32" s="503">
        <v>1</v>
      </c>
      <c r="S32" s="503"/>
      <c r="T32" s="498">
        <f t="shared" si="2"/>
        <v>1</v>
      </c>
      <c r="U32" s="503"/>
      <c r="V32" s="503"/>
      <c r="W32" s="503"/>
      <c r="X32" s="503">
        <v>21</v>
      </c>
      <c r="Y32" s="503">
        <v>1</v>
      </c>
      <c r="Z32" s="503">
        <v>1</v>
      </c>
      <c r="AA32" s="503">
        <v>3</v>
      </c>
      <c r="AB32" s="503"/>
      <c r="AC32" s="503">
        <v>58.2</v>
      </c>
      <c r="AD32" s="503">
        <v>7.3</v>
      </c>
    </row>
    <row r="33" spans="1:30" ht="30" customHeight="1">
      <c r="A33" s="503">
        <v>27</v>
      </c>
      <c r="B33" s="503" t="s">
        <v>721</v>
      </c>
      <c r="C33" s="453"/>
      <c r="D33" s="503">
        <v>1</v>
      </c>
      <c r="E33" s="503"/>
      <c r="F33" s="503">
        <v>103.77</v>
      </c>
      <c r="G33" s="503">
        <v>4.54</v>
      </c>
      <c r="H33" s="504">
        <f t="shared" si="3"/>
        <v>108.31</v>
      </c>
      <c r="I33" s="503">
        <v>3466</v>
      </c>
      <c r="J33" s="503">
        <v>61</v>
      </c>
      <c r="K33" s="503">
        <v>1060</v>
      </c>
      <c r="L33" s="503">
        <v>11</v>
      </c>
      <c r="M33" s="498">
        <f t="shared" si="1"/>
        <v>4526</v>
      </c>
      <c r="N33" s="453">
        <f t="shared" si="1"/>
        <v>72</v>
      </c>
      <c r="O33" s="503">
        <v>12</v>
      </c>
      <c r="P33" s="503">
        <v>75</v>
      </c>
      <c r="Q33" s="503"/>
      <c r="R33" s="503">
        <v>2</v>
      </c>
      <c r="S33" s="503"/>
      <c r="T33" s="498">
        <f t="shared" si="2"/>
        <v>2</v>
      </c>
      <c r="U33" s="503"/>
      <c r="V33" s="503"/>
      <c r="W33" s="503"/>
      <c r="X33" s="503">
        <v>68</v>
      </c>
      <c r="Y33" s="503"/>
      <c r="Z33" s="503"/>
      <c r="AA33" s="503">
        <v>141</v>
      </c>
      <c r="AB33" s="503"/>
      <c r="AC33" s="503">
        <v>364.9863</v>
      </c>
      <c r="AD33" s="503">
        <v>9.2</v>
      </c>
    </row>
    <row r="34" spans="1:30" ht="30" customHeight="1">
      <c r="A34" s="453">
        <v>28</v>
      </c>
      <c r="B34" s="453" t="s">
        <v>722</v>
      </c>
      <c r="C34" s="453"/>
      <c r="D34" s="453"/>
      <c r="E34" s="453">
        <v>1</v>
      </c>
      <c r="F34" s="453">
        <v>1.28</v>
      </c>
      <c r="G34" s="453"/>
      <c r="H34" s="504">
        <f t="shared" si="3"/>
        <v>1.28</v>
      </c>
      <c r="I34" s="453"/>
      <c r="J34" s="453"/>
      <c r="K34" s="453">
        <v>1000</v>
      </c>
      <c r="L34" s="453">
        <v>1</v>
      </c>
      <c r="M34" s="498">
        <f t="shared" si="1"/>
        <v>1000</v>
      </c>
      <c r="N34" s="453">
        <f t="shared" si="1"/>
        <v>1</v>
      </c>
      <c r="O34" s="453"/>
      <c r="P34" s="453">
        <v>3</v>
      </c>
      <c r="Q34" s="453"/>
      <c r="R34" s="453"/>
      <c r="S34" s="453"/>
      <c r="T34" s="498">
        <f t="shared" si="2"/>
        <v>0</v>
      </c>
      <c r="U34" s="453"/>
      <c r="V34" s="453"/>
      <c r="W34" s="453"/>
      <c r="X34" s="453">
        <v>1</v>
      </c>
      <c r="Y34" s="453">
        <v>1</v>
      </c>
      <c r="Z34" s="453"/>
      <c r="AA34" s="453">
        <v>3</v>
      </c>
      <c r="AB34" s="453"/>
      <c r="AC34" s="453"/>
      <c r="AD34" s="453"/>
    </row>
    <row r="35" spans="1:30" ht="30" customHeight="1">
      <c r="A35" s="503">
        <v>29</v>
      </c>
      <c r="B35" s="453" t="s">
        <v>723</v>
      </c>
      <c r="C35" s="453"/>
      <c r="D35" s="453"/>
      <c r="E35" s="453">
        <v>1</v>
      </c>
      <c r="F35" s="453">
        <v>12.55</v>
      </c>
      <c r="G35" s="453"/>
      <c r="H35" s="504">
        <f t="shared" si="3"/>
        <v>12.55</v>
      </c>
      <c r="I35" s="453"/>
      <c r="J35" s="453"/>
      <c r="K35" s="453">
        <v>1940</v>
      </c>
      <c r="L35" s="453">
        <v>4</v>
      </c>
      <c r="M35" s="498">
        <f t="shared" si="1"/>
        <v>1940</v>
      </c>
      <c r="N35" s="453">
        <f t="shared" si="1"/>
        <v>4</v>
      </c>
      <c r="O35" s="453"/>
      <c r="P35" s="453">
        <v>9</v>
      </c>
      <c r="Q35" s="453"/>
      <c r="R35" s="453">
        <v>1</v>
      </c>
      <c r="S35" s="453"/>
      <c r="T35" s="498">
        <f t="shared" si="2"/>
        <v>1</v>
      </c>
      <c r="U35" s="453"/>
      <c r="V35" s="453"/>
      <c r="W35" s="453"/>
      <c r="X35" s="453">
        <v>1</v>
      </c>
      <c r="Y35" s="453">
        <v>1</v>
      </c>
      <c r="Z35" s="453"/>
      <c r="AA35" s="453">
        <v>3</v>
      </c>
      <c r="AB35" s="453"/>
      <c r="AC35" s="453">
        <v>145.128</v>
      </c>
      <c r="AD35" s="504"/>
    </row>
    <row r="36" spans="1:30" ht="30" customHeight="1">
      <c r="A36" s="453">
        <v>30</v>
      </c>
      <c r="B36" s="453" t="s">
        <v>724</v>
      </c>
      <c r="C36" s="453"/>
      <c r="D36" s="453"/>
      <c r="E36" s="453">
        <v>1</v>
      </c>
      <c r="F36" s="453">
        <v>1.83</v>
      </c>
      <c r="G36" s="453"/>
      <c r="H36" s="504">
        <f t="shared" si="3"/>
        <v>1.83</v>
      </c>
      <c r="I36" s="453"/>
      <c r="J36" s="453"/>
      <c r="K36" s="453">
        <v>2410</v>
      </c>
      <c r="L36" s="453">
        <v>3</v>
      </c>
      <c r="M36" s="498">
        <f t="shared" si="1"/>
        <v>2410</v>
      </c>
      <c r="N36" s="453">
        <f t="shared" si="1"/>
        <v>3</v>
      </c>
      <c r="O36" s="453"/>
      <c r="P36" s="453"/>
      <c r="Q36" s="453"/>
      <c r="R36" s="453">
        <v>1</v>
      </c>
      <c r="S36" s="453"/>
      <c r="T36" s="498">
        <f t="shared" si="2"/>
        <v>1</v>
      </c>
      <c r="U36" s="453"/>
      <c r="V36" s="453"/>
      <c r="W36" s="453"/>
      <c r="X36" s="453">
        <v>1</v>
      </c>
      <c r="Y36" s="453">
        <v>1</v>
      </c>
      <c r="Z36" s="453"/>
      <c r="AA36" s="453">
        <v>69</v>
      </c>
      <c r="AB36" s="453"/>
      <c r="AC36" s="504">
        <v>9.232</v>
      </c>
      <c r="AD36" s="504"/>
    </row>
    <row r="37" spans="1:30" ht="30" customHeight="1">
      <c r="A37" s="503">
        <v>31</v>
      </c>
      <c r="B37" s="453" t="s">
        <v>725</v>
      </c>
      <c r="C37" s="453"/>
      <c r="D37" s="453"/>
      <c r="E37" s="453">
        <v>1</v>
      </c>
      <c r="F37" s="453">
        <v>0</v>
      </c>
      <c r="G37" s="453">
        <v>8.24</v>
      </c>
      <c r="H37" s="504">
        <f t="shared" si="3"/>
        <v>8.24</v>
      </c>
      <c r="I37" s="453"/>
      <c r="J37" s="453"/>
      <c r="K37" s="453">
        <v>420</v>
      </c>
      <c r="L37" s="453">
        <v>9</v>
      </c>
      <c r="M37" s="498">
        <f t="shared" si="1"/>
        <v>420</v>
      </c>
      <c r="N37" s="453">
        <f t="shared" si="1"/>
        <v>9</v>
      </c>
      <c r="O37" s="453"/>
      <c r="P37" s="453"/>
      <c r="Q37" s="453"/>
      <c r="R37" s="453"/>
      <c r="S37" s="453"/>
      <c r="T37" s="498">
        <f t="shared" si="2"/>
        <v>0</v>
      </c>
      <c r="U37" s="453"/>
      <c r="V37" s="453"/>
      <c r="W37" s="453"/>
      <c r="X37" s="453">
        <v>1</v>
      </c>
      <c r="Y37" s="453">
        <v>1</v>
      </c>
      <c r="Z37" s="453"/>
      <c r="AA37" s="453"/>
      <c r="AB37" s="453"/>
      <c r="AC37" s="504">
        <v>47.526</v>
      </c>
      <c r="AD37" s="504"/>
    </row>
    <row r="38" spans="1:30" ht="30" customHeight="1">
      <c r="A38" s="453">
        <v>32</v>
      </c>
      <c r="B38" s="453" t="s">
        <v>726</v>
      </c>
      <c r="C38" s="453"/>
      <c r="D38" s="453"/>
      <c r="E38" s="453">
        <v>1</v>
      </c>
      <c r="F38" s="453">
        <v>0</v>
      </c>
      <c r="G38" s="453">
        <v>2.6</v>
      </c>
      <c r="H38" s="504">
        <f t="shared" si="3"/>
        <v>2.6</v>
      </c>
      <c r="I38" s="453"/>
      <c r="J38" s="453"/>
      <c r="K38" s="453">
        <v>2315</v>
      </c>
      <c r="L38" s="453">
        <v>5</v>
      </c>
      <c r="M38" s="498">
        <f t="shared" si="1"/>
        <v>2315</v>
      </c>
      <c r="N38" s="453">
        <f t="shared" si="1"/>
        <v>5</v>
      </c>
      <c r="O38" s="453"/>
      <c r="P38" s="453"/>
      <c r="Q38" s="453"/>
      <c r="R38" s="453">
        <v>1</v>
      </c>
      <c r="S38" s="453"/>
      <c r="T38" s="498">
        <f t="shared" si="2"/>
        <v>1</v>
      </c>
      <c r="U38" s="453"/>
      <c r="V38" s="453"/>
      <c r="W38" s="453"/>
      <c r="X38" s="453">
        <v>1</v>
      </c>
      <c r="Y38" s="453">
        <v>1</v>
      </c>
      <c r="Z38" s="453"/>
      <c r="AA38" s="453">
        <v>3</v>
      </c>
      <c r="AB38" s="453"/>
      <c r="AC38" s="504">
        <v>474.62</v>
      </c>
      <c r="AD38" s="504"/>
    </row>
    <row r="39" spans="1:30" ht="30" customHeight="1">
      <c r="A39" s="503">
        <v>33</v>
      </c>
      <c r="B39" s="453" t="s">
        <v>727</v>
      </c>
      <c r="C39" s="453"/>
      <c r="D39" s="453"/>
      <c r="E39" s="453">
        <v>1</v>
      </c>
      <c r="F39" s="453">
        <v>4.7</v>
      </c>
      <c r="G39" s="453"/>
      <c r="H39" s="504">
        <f t="shared" si="3"/>
        <v>4.7</v>
      </c>
      <c r="I39" s="453"/>
      <c r="J39" s="453"/>
      <c r="K39" s="453">
        <v>1260</v>
      </c>
      <c r="L39" s="453">
        <v>2</v>
      </c>
      <c r="M39" s="498">
        <f t="shared" si="1"/>
        <v>1260</v>
      </c>
      <c r="N39" s="453">
        <f t="shared" si="1"/>
        <v>2</v>
      </c>
      <c r="O39" s="453"/>
      <c r="P39" s="453"/>
      <c r="Q39" s="453"/>
      <c r="R39" s="453"/>
      <c r="S39" s="453"/>
      <c r="T39" s="498">
        <f t="shared" si="2"/>
        <v>0</v>
      </c>
      <c r="U39" s="453"/>
      <c r="V39" s="453"/>
      <c r="W39" s="453"/>
      <c r="X39" s="453">
        <v>1</v>
      </c>
      <c r="Y39" s="453">
        <v>1</v>
      </c>
      <c r="Z39" s="453"/>
      <c r="AA39" s="453">
        <v>3</v>
      </c>
      <c r="AB39" s="453"/>
      <c r="AC39" s="504">
        <v>17.68</v>
      </c>
      <c r="AD39" s="504"/>
    </row>
    <row r="40" spans="1:30" ht="30" customHeight="1">
      <c r="A40" s="453">
        <v>34</v>
      </c>
      <c r="B40" s="453" t="s">
        <v>728</v>
      </c>
      <c r="C40" s="453"/>
      <c r="D40" s="453"/>
      <c r="E40" s="453">
        <v>1</v>
      </c>
      <c r="F40" s="453">
        <v>0.51</v>
      </c>
      <c r="G40" s="453"/>
      <c r="H40" s="504">
        <f t="shared" si="3"/>
        <v>0.51</v>
      </c>
      <c r="I40" s="453"/>
      <c r="J40" s="453"/>
      <c r="K40" s="453"/>
      <c r="L40" s="453"/>
      <c r="M40" s="498">
        <f t="shared" si="1"/>
        <v>0</v>
      </c>
      <c r="N40" s="453">
        <f t="shared" si="1"/>
        <v>0</v>
      </c>
      <c r="O40" s="453"/>
      <c r="P40" s="453"/>
      <c r="Q40" s="453"/>
      <c r="R40" s="453"/>
      <c r="S40" s="453"/>
      <c r="T40" s="498">
        <f t="shared" si="2"/>
        <v>0</v>
      </c>
      <c r="U40" s="453"/>
      <c r="V40" s="453"/>
      <c r="W40" s="453"/>
      <c r="X40" s="453"/>
      <c r="Y40" s="453"/>
      <c r="Z40" s="453"/>
      <c r="AA40" s="453"/>
      <c r="AB40" s="453"/>
      <c r="AC40" s="453">
        <v>2106.252</v>
      </c>
      <c r="AD40" s="453"/>
    </row>
    <row r="41" spans="1:30" ht="30" customHeight="1">
      <c r="A41" s="503">
        <v>35</v>
      </c>
      <c r="B41" s="453" t="s">
        <v>729</v>
      </c>
      <c r="C41" s="453"/>
      <c r="D41" s="453"/>
      <c r="E41" s="453">
        <v>1</v>
      </c>
      <c r="F41" s="453">
        <v>0.51</v>
      </c>
      <c r="G41" s="453"/>
      <c r="H41" s="504">
        <f t="shared" si="3"/>
        <v>0.51</v>
      </c>
      <c r="I41" s="453"/>
      <c r="J41" s="453"/>
      <c r="K41" s="453"/>
      <c r="L41" s="453"/>
      <c r="M41" s="498">
        <f t="shared" si="1"/>
        <v>0</v>
      </c>
      <c r="N41" s="453">
        <f t="shared" si="1"/>
        <v>0</v>
      </c>
      <c r="O41" s="453"/>
      <c r="P41" s="453"/>
      <c r="Q41" s="453"/>
      <c r="R41" s="453"/>
      <c r="S41" s="453"/>
      <c r="T41" s="498">
        <f t="shared" si="2"/>
        <v>0</v>
      </c>
      <c r="U41" s="453"/>
      <c r="V41" s="453"/>
      <c r="W41" s="453"/>
      <c r="X41" s="453"/>
      <c r="Y41" s="453"/>
      <c r="Z41" s="453"/>
      <c r="AA41" s="453"/>
      <c r="AB41" s="453"/>
      <c r="AC41" s="453">
        <v>1598.172</v>
      </c>
      <c r="AD41" s="453"/>
    </row>
    <row r="42" spans="1:30" ht="30" customHeight="1">
      <c r="A42" s="453">
        <v>36</v>
      </c>
      <c r="B42" s="453" t="s">
        <v>730</v>
      </c>
      <c r="C42" s="453"/>
      <c r="D42" s="453"/>
      <c r="E42" s="453">
        <v>1</v>
      </c>
      <c r="F42" s="453">
        <v>0.51</v>
      </c>
      <c r="G42" s="453"/>
      <c r="H42" s="504">
        <f t="shared" si="3"/>
        <v>0.51</v>
      </c>
      <c r="I42" s="453"/>
      <c r="J42" s="453"/>
      <c r="K42" s="453"/>
      <c r="L42" s="453"/>
      <c r="M42" s="498">
        <f t="shared" si="1"/>
        <v>0</v>
      </c>
      <c r="N42" s="453">
        <f t="shared" si="1"/>
        <v>0</v>
      </c>
      <c r="O42" s="453"/>
      <c r="P42" s="453"/>
      <c r="Q42" s="453"/>
      <c r="R42" s="453"/>
      <c r="S42" s="453"/>
      <c r="T42" s="498">
        <f t="shared" si="2"/>
        <v>0</v>
      </c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</row>
    <row r="43" spans="1:30" ht="30" customHeight="1">
      <c r="A43" s="503">
        <v>37</v>
      </c>
      <c r="B43" s="453" t="s">
        <v>731</v>
      </c>
      <c r="C43" s="453"/>
      <c r="D43" s="453"/>
      <c r="E43" s="453">
        <v>1</v>
      </c>
      <c r="F43" s="453">
        <v>0.51</v>
      </c>
      <c r="G43" s="453"/>
      <c r="H43" s="504">
        <f t="shared" si="3"/>
        <v>0.51</v>
      </c>
      <c r="I43" s="453"/>
      <c r="J43" s="453"/>
      <c r="K43" s="453"/>
      <c r="L43" s="453"/>
      <c r="M43" s="498">
        <f t="shared" si="1"/>
        <v>0</v>
      </c>
      <c r="N43" s="453">
        <f t="shared" si="1"/>
        <v>0</v>
      </c>
      <c r="O43" s="453"/>
      <c r="P43" s="453"/>
      <c r="Q43" s="453"/>
      <c r="R43" s="453"/>
      <c r="S43" s="453"/>
      <c r="T43" s="498">
        <f t="shared" si="2"/>
        <v>0</v>
      </c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</row>
    <row r="44" spans="1:30" ht="30" customHeight="1">
      <c r="A44" s="453">
        <v>38</v>
      </c>
      <c r="B44" s="453" t="s">
        <v>732</v>
      </c>
      <c r="C44" s="453"/>
      <c r="D44" s="453"/>
      <c r="E44" s="453">
        <v>1</v>
      </c>
      <c r="F44" s="453">
        <v>0</v>
      </c>
      <c r="G44" s="453">
        <v>9.6</v>
      </c>
      <c r="H44" s="504">
        <f t="shared" si="3"/>
        <v>9.6</v>
      </c>
      <c r="I44" s="453"/>
      <c r="J44" s="453"/>
      <c r="K44" s="453">
        <v>1300</v>
      </c>
      <c r="L44" s="453">
        <v>2</v>
      </c>
      <c r="M44" s="498">
        <f t="shared" si="1"/>
        <v>1300</v>
      </c>
      <c r="N44" s="453">
        <f t="shared" si="1"/>
        <v>2</v>
      </c>
      <c r="O44" s="453"/>
      <c r="P44" s="453"/>
      <c r="Q44" s="453"/>
      <c r="R44" s="453"/>
      <c r="S44" s="453"/>
      <c r="T44" s="498">
        <f t="shared" si="2"/>
        <v>0</v>
      </c>
      <c r="U44" s="453"/>
      <c r="V44" s="453"/>
      <c r="W44" s="453"/>
      <c r="X44" s="453"/>
      <c r="Y44" s="453"/>
      <c r="Z44" s="453"/>
      <c r="AA44" s="453"/>
      <c r="AB44" s="453"/>
      <c r="AC44" s="504">
        <v>112.62</v>
      </c>
      <c r="AD44" s="504"/>
    </row>
    <row r="45" spans="1:30" ht="30" customHeight="1">
      <c r="A45" s="503">
        <v>39</v>
      </c>
      <c r="B45" s="508" t="s">
        <v>733</v>
      </c>
      <c r="C45" s="453"/>
      <c r="D45" s="503">
        <v>1</v>
      </c>
      <c r="E45" s="503"/>
      <c r="F45" s="503">
        <v>76.665</v>
      </c>
      <c r="G45" s="503">
        <v>1.44</v>
      </c>
      <c r="H45" s="504">
        <f t="shared" si="3"/>
        <v>78.105</v>
      </c>
      <c r="I45" s="503">
        <v>3270</v>
      </c>
      <c r="J45" s="503">
        <v>47</v>
      </c>
      <c r="K45" s="503">
        <v>3141</v>
      </c>
      <c r="L45" s="503">
        <v>31</v>
      </c>
      <c r="M45" s="498">
        <f t="shared" si="1"/>
        <v>6411</v>
      </c>
      <c r="N45" s="453">
        <f t="shared" si="1"/>
        <v>78</v>
      </c>
      <c r="O45" s="503">
        <v>297</v>
      </c>
      <c r="P45" s="453">
        <v>234</v>
      </c>
      <c r="Q45" s="503"/>
      <c r="R45" s="503">
        <v>4</v>
      </c>
      <c r="S45" s="503"/>
      <c r="T45" s="498">
        <f t="shared" si="2"/>
        <v>4</v>
      </c>
      <c r="U45" s="503"/>
      <c r="V45" s="503"/>
      <c r="W45" s="503"/>
      <c r="X45" s="503">
        <v>78</v>
      </c>
      <c r="Y45" s="503">
        <v>3</v>
      </c>
      <c r="Z45" s="503"/>
      <c r="AA45" s="503">
        <v>234</v>
      </c>
      <c r="AB45" s="503">
        <v>3</v>
      </c>
      <c r="AC45" s="503">
        <v>846.2896</v>
      </c>
      <c r="AD45" s="503">
        <v>8.04</v>
      </c>
    </row>
    <row r="46" spans="1:30" ht="30" customHeight="1">
      <c r="A46" s="453">
        <v>40</v>
      </c>
      <c r="B46" s="453" t="s">
        <v>734</v>
      </c>
      <c r="C46" s="453">
        <v>1</v>
      </c>
      <c r="D46" s="453"/>
      <c r="E46" s="453"/>
      <c r="F46" s="453">
        <v>2.97</v>
      </c>
      <c r="G46" s="453"/>
      <c r="H46" s="504">
        <f t="shared" si="3"/>
        <v>2.97</v>
      </c>
      <c r="I46" s="453">
        <v>1925</v>
      </c>
      <c r="J46" s="453">
        <v>13</v>
      </c>
      <c r="K46" s="453">
        <v>2075</v>
      </c>
      <c r="L46" s="453">
        <v>12</v>
      </c>
      <c r="M46" s="498">
        <f t="shared" si="1"/>
        <v>4000</v>
      </c>
      <c r="N46" s="453">
        <f t="shared" si="1"/>
        <v>25</v>
      </c>
      <c r="O46" s="453">
        <v>78</v>
      </c>
      <c r="P46" s="453">
        <v>87</v>
      </c>
      <c r="Q46" s="453"/>
      <c r="R46" s="453">
        <v>1</v>
      </c>
      <c r="S46" s="453"/>
      <c r="T46" s="498">
        <f t="shared" si="2"/>
        <v>1</v>
      </c>
      <c r="U46" s="453"/>
      <c r="V46" s="453"/>
      <c r="W46" s="453"/>
      <c r="X46" s="453"/>
      <c r="Y46" s="453"/>
      <c r="Z46" s="453">
        <v>3</v>
      </c>
      <c r="AA46" s="453">
        <v>69</v>
      </c>
      <c r="AB46" s="453"/>
      <c r="AC46" s="453">
        <v>588.9124</v>
      </c>
      <c r="AD46" s="453">
        <v>4.75</v>
      </c>
    </row>
    <row r="47" spans="1:30" ht="30" customHeight="1">
      <c r="A47" s="503">
        <v>41</v>
      </c>
      <c r="B47" s="508" t="s">
        <v>735</v>
      </c>
      <c r="C47" s="453">
        <v>1</v>
      </c>
      <c r="D47" s="453"/>
      <c r="E47" s="453"/>
      <c r="F47" s="453">
        <v>2.56</v>
      </c>
      <c r="G47" s="453">
        <v>0.61</v>
      </c>
      <c r="H47" s="504">
        <f t="shared" si="3"/>
        <v>3.17</v>
      </c>
      <c r="I47" s="453">
        <v>6790</v>
      </c>
      <c r="J47" s="453">
        <v>23</v>
      </c>
      <c r="K47" s="453">
        <v>4325</v>
      </c>
      <c r="L47" s="453">
        <v>16</v>
      </c>
      <c r="M47" s="498">
        <f t="shared" si="1"/>
        <v>11115</v>
      </c>
      <c r="N47" s="453">
        <f t="shared" si="1"/>
        <v>39</v>
      </c>
      <c r="O47" s="453">
        <v>93</v>
      </c>
      <c r="P47" s="453">
        <v>93</v>
      </c>
      <c r="Q47" s="453"/>
      <c r="R47" s="453">
        <v>7</v>
      </c>
      <c r="S47" s="453"/>
      <c r="T47" s="498">
        <f t="shared" si="2"/>
        <v>7</v>
      </c>
      <c r="U47" s="453"/>
      <c r="V47" s="453"/>
      <c r="W47" s="453"/>
      <c r="X47" s="453">
        <v>31</v>
      </c>
      <c r="Y47" s="453">
        <v>13</v>
      </c>
      <c r="Z47" s="453">
        <v>5</v>
      </c>
      <c r="AA47" s="453">
        <v>87</v>
      </c>
      <c r="AB47" s="453">
        <v>6</v>
      </c>
      <c r="AC47" s="453">
        <v>1246.9807</v>
      </c>
      <c r="AD47" s="453">
        <v>4.24</v>
      </c>
    </row>
    <row r="48" spans="1:30" ht="30" customHeight="1">
      <c r="A48" s="510">
        <v>42</v>
      </c>
      <c r="B48" s="511" t="s">
        <v>736</v>
      </c>
      <c r="C48" s="453"/>
      <c r="D48" s="510"/>
      <c r="E48" s="510">
        <v>1</v>
      </c>
      <c r="F48" s="510">
        <v>0</v>
      </c>
      <c r="G48" s="510">
        <v>1.1</v>
      </c>
      <c r="H48" s="512">
        <f t="shared" si="3"/>
        <v>1.1</v>
      </c>
      <c r="I48" s="510"/>
      <c r="J48" s="510"/>
      <c r="K48" s="510"/>
      <c r="L48" s="510"/>
      <c r="M48" s="498">
        <f aca="true" t="shared" si="4" ref="M48:M53">K48+I48</f>
        <v>0</v>
      </c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</row>
    <row r="49" spans="1:30" ht="30" customHeight="1">
      <c r="A49" s="453">
        <v>43</v>
      </c>
      <c r="B49" s="508" t="s">
        <v>737</v>
      </c>
      <c r="C49" s="453"/>
      <c r="D49" s="453"/>
      <c r="E49" s="453">
        <v>1</v>
      </c>
      <c r="F49" s="453">
        <v>0</v>
      </c>
      <c r="G49" s="453">
        <v>0.3</v>
      </c>
      <c r="H49" s="504">
        <f t="shared" si="3"/>
        <v>0.3</v>
      </c>
      <c r="I49" s="453"/>
      <c r="J49" s="453"/>
      <c r="K49" s="453"/>
      <c r="L49" s="453"/>
      <c r="M49" s="498">
        <f t="shared" si="4"/>
        <v>0</v>
      </c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</row>
    <row r="50" spans="1:30" ht="30" customHeight="1">
      <c r="A50" s="453">
        <v>44</v>
      </c>
      <c r="B50" s="508" t="s">
        <v>738</v>
      </c>
      <c r="C50" s="453"/>
      <c r="D50" s="453">
        <v>1</v>
      </c>
      <c r="E50" s="453"/>
      <c r="F50" s="453">
        <v>0.25</v>
      </c>
      <c r="G50" s="453"/>
      <c r="H50" s="504">
        <f t="shared" si="3"/>
        <v>0.25</v>
      </c>
      <c r="I50" s="453"/>
      <c r="J50" s="453"/>
      <c r="K50" s="453"/>
      <c r="L50" s="453"/>
      <c r="M50" s="498">
        <f t="shared" si="4"/>
        <v>0</v>
      </c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>
        <v>76.1747</v>
      </c>
      <c r="AD50" s="453">
        <v>9.29</v>
      </c>
    </row>
    <row r="51" spans="1:30" ht="30" customHeight="1">
      <c r="A51" s="453">
        <v>45</v>
      </c>
      <c r="B51" s="508" t="s">
        <v>739</v>
      </c>
      <c r="C51" s="453"/>
      <c r="D51" s="453"/>
      <c r="E51" s="453">
        <v>1</v>
      </c>
      <c r="F51" s="453">
        <v>0</v>
      </c>
      <c r="G51" s="453">
        <v>1.45</v>
      </c>
      <c r="H51" s="504">
        <f t="shared" si="3"/>
        <v>1.45</v>
      </c>
      <c r="I51" s="453"/>
      <c r="J51" s="453"/>
      <c r="K51" s="453"/>
      <c r="L51" s="453"/>
      <c r="M51" s="498">
        <f t="shared" si="4"/>
        <v>0</v>
      </c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>
        <v>770.215</v>
      </c>
      <c r="AD51" s="453"/>
    </row>
    <row r="52" spans="1:30" ht="30" customHeight="1">
      <c r="A52" s="453"/>
      <c r="B52" s="508" t="s">
        <v>740</v>
      </c>
      <c r="C52" s="453"/>
      <c r="D52" s="453">
        <v>1</v>
      </c>
      <c r="E52" s="453"/>
      <c r="F52" s="453">
        <v>0.57</v>
      </c>
      <c r="G52" s="453"/>
      <c r="H52" s="504">
        <f t="shared" si="3"/>
        <v>0.57</v>
      </c>
      <c r="I52" s="453"/>
      <c r="J52" s="453"/>
      <c r="K52" s="453"/>
      <c r="L52" s="453"/>
      <c r="M52" s="498">
        <f t="shared" si="4"/>
        <v>0</v>
      </c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</row>
    <row r="53" spans="1:30" ht="30" customHeight="1">
      <c r="A53" s="453"/>
      <c r="B53" s="508" t="s">
        <v>741</v>
      </c>
      <c r="C53" s="453"/>
      <c r="D53" s="453"/>
      <c r="E53" s="453">
        <v>1</v>
      </c>
      <c r="F53" s="453">
        <v>0.78</v>
      </c>
      <c r="G53" s="453"/>
      <c r="H53" s="504">
        <f t="shared" si="3"/>
        <v>0.78</v>
      </c>
      <c r="I53" s="453"/>
      <c r="J53" s="453"/>
      <c r="K53" s="453"/>
      <c r="L53" s="453"/>
      <c r="M53" s="498">
        <f t="shared" si="4"/>
        <v>0</v>
      </c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</row>
    <row r="54" spans="1:30" ht="30" customHeight="1">
      <c r="A54" s="505" t="s">
        <v>122</v>
      </c>
      <c r="B54" s="513"/>
      <c r="C54" s="453"/>
      <c r="D54" s="503"/>
      <c r="E54" s="503"/>
      <c r="F54" s="514">
        <f aca="true" t="shared" si="5" ref="F54:I54">SUM(F7:F53)</f>
        <v>1481.5209999999997</v>
      </c>
      <c r="G54" s="515">
        <f t="shared" si="5"/>
        <v>131.611</v>
      </c>
      <c r="H54" s="515">
        <f t="shared" si="5"/>
        <v>1613.1319999999998</v>
      </c>
      <c r="I54" s="527">
        <f t="shared" si="5"/>
        <v>76972</v>
      </c>
      <c r="J54" s="527">
        <f aca="true" t="shared" si="6" ref="J54:AC54">SUM(J7:J53)</f>
        <v>886</v>
      </c>
      <c r="K54" s="527">
        <f t="shared" si="6"/>
        <v>102740</v>
      </c>
      <c r="L54" s="527">
        <f t="shared" si="6"/>
        <v>500</v>
      </c>
      <c r="M54" s="527">
        <f t="shared" si="6"/>
        <v>179712</v>
      </c>
      <c r="N54" s="527">
        <f t="shared" si="6"/>
        <v>1386</v>
      </c>
      <c r="O54" s="527">
        <f t="shared" si="6"/>
        <v>4173</v>
      </c>
      <c r="P54" s="527">
        <f t="shared" si="6"/>
        <v>4023</v>
      </c>
      <c r="Q54" s="527">
        <f t="shared" si="6"/>
        <v>2</v>
      </c>
      <c r="R54" s="527">
        <f t="shared" si="6"/>
        <v>89</v>
      </c>
      <c r="S54" s="527">
        <f t="shared" si="6"/>
        <v>0</v>
      </c>
      <c r="T54" s="527">
        <f t="shared" si="6"/>
        <v>91</v>
      </c>
      <c r="U54" s="527">
        <f t="shared" si="6"/>
        <v>0</v>
      </c>
      <c r="V54" s="527">
        <f t="shared" si="6"/>
        <v>0</v>
      </c>
      <c r="W54" s="527">
        <f t="shared" si="6"/>
        <v>0</v>
      </c>
      <c r="X54" s="527">
        <f t="shared" si="6"/>
        <v>1521</v>
      </c>
      <c r="Y54" s="527">
        <f t="shared" si="6"/>
        <v>184</v>
      </c>
      <c r="Z54" s="527">
        <f t="shared" si="6"/>
        <v>68</v>
      </c>
      <c r="AA54" s="527">
        <f t="shared" si="6"/>
        <v>3381</v>
      </c>
      <c r="AB54" s="527">
        <f t="shared" si="6"/>
        <v>91</v>
      </c>
      <c r="AC54" s="515">
        <f t="shared" si="6"/>
        <v>23921.502</v>
      </c>
      <c r="AD54" s="503">
        <v>4.95</v>
      </c>
    </row>
    <row r="55" spans="1:30" ht="30" customHeight="1">
      <c r="A55" s="516" t="s">
        <v>209</v>
      </c>
      <c r="B55" s="517"/>
      <c r="C55" s="518">
        <f>SUM(C7:C54)</f>
        <v>5</v>
      </c>
      <c r="D55" s="519">
        <f>SUM(D7:D54)</f>
        <v>20</v>
      </c>
      <c r="E55" s="519">
        <f>SUM(E7:E54)</f>
        <v>21</v>
      </c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35"/>
      <c r="AD55" s="536"/>
    </row>
    <row r="56" spans="1:30" ht="15">
      <c r="A56" s="520"/>
      <c r="B56" s="521" t="s">
        <v>461</v>
      </c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37"/>
    </row>
    <row r="57" spans="1:30" ht="15">
      <c r="A57" s="523"/>
      <c r="B57" s="524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38"/>
    </row>
    <row r="58" spans="1:30" ht="15">
      <c r="A58" s="494"/>
      <c r="B58" s="494"/>
      <c r="C58" s="494"/>
      <c r="D58" s="494" t="s">
        <v>176</v>
      </c>
      <c r="E58" s="494"/>
      <c r="F58" s="494"/>
      <c r="G58" s="494" t="s">
        <v>742</v>
      </c>
      <c r="H58" s="494"/>
      <c r="I58" s="494"/>
      <c r="J58" s="494"/>
      <c r="K58" s="494"/>
      <c r="L58" s="494"/>
      <c r="M58" s="494"/>
      <c r="N58" s="494"/>
      <c r="O58" s="494" t="s">
        <v>177</v>
      </c>
      <c r="P58" s="494" t="s">
        <v>743</v>
      </c>
      <c r="Q58" s="494"/>
      <c r="R58" s="494"/>
      <c r="S58" s="494"/>
      <c r="T58" s="494"/>
      <c r="U58" s="494"/>
      <c r="V58" s="494"/>
      <c r="W58" s="494"/>
      <c r="X58" s="494"/>
      <c r="Y58" s="494"/>
      <c r="Z58" s="494" t="s">
        <v>211</v>
      </c>
      <c r="AA58" s="494" t="s">
        <v>744</v>
      </c>
      <c r="AB58" s="494"/>
      <c r="AC58" s="494"/>
      <c r="AD58" s="531"/>
    </row>
  </sheetData>
  <sheetProtection/>
  <mergeCells count="22">
    <mergeCell ref="A1:AD1"/>
    <mergeCell ref="C3:E3"/>
    <mergeCell ref="F3:H3"/>
    <mergeCell ref="I3:N3"/>
    <mergeCell ref="Q3:T3"/>
    <mergeCell ref="U3:V3"/>
    <mergeCell ref="W3:Y3"/>
    <mergeCell ref="AA3:AB3"/>
    <mergeCell ref="A54:B54"/>
    <mergeCell ref="A55:B55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1" sqref="A1:AE1"/>
    </sheetView>
  </sheetViews>
  <sheetFormatPr defaultColWidth="9.00390625" defaultRowHeight="14.25"/>
  <cols>
    <col min="1" max="1" width="9.00390625" style="294" customWidth="1"/>
    <col min="2" max="2" width="10.625" style="294" customWidth="1"/>
    <col min="3" max="7" width="9.00390625" style="294" customWidth="1"/>
    <col min="8" max="8" width="10.125" style="294" customWidth="1"/>
    <col min="9" max="28" width="9.00390625" style="294" customWidth="1"/>
    <col min="29" max="29" width="11.875" style="294" customWidth="1"/>
    <col min="30" max="16384" width="9.00390625" style="294" customWidth="1"/>
  </cols>
  <sheetData>
    <row r="1" spans="1:30" ht="21">
      <c r="A1" s="465" t="s">
        <v>97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</row>
    <row r="2" spans="1:30" ht="15">
      <c r="A2" s="447" t="s">
        <v>98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297" t="s">
        <v>745</v>
      </c>
      <c r="W2" s="447"/>
      <c r="X2" s="484"/>
      <c r="Y2" s="484"/>
      <c r="Z2" s="484"/>
      <c r="AA2" s="447"/>
      <c r="AB2" s="447" t="s">
        <v>101</v>
      </c>
      <c r="AC2" s="447"/>
      <c r="AD2" s="447"/>
    </row>
    <row r="3" spans="1:30" ht="15">
      <c r="A3" s="467" t="s">
        <v>102</v>
      </c>
      <c r="B3" s="468" t="s">
        <v>103</v>
      </c>
      <c r="C3" s="468" t="s">
        <v>104</v>
      </c>
      <c r="D3" s="468"/>
      <c r="E3" s="468"/>
      <c r="F3" s="469" t="s">
        <v>105</v>
      </c>
      <c r="G3" s="468"/>
      <c r="H3" s="468"/>
      <c r="I3" s="468" t="s">
        <v>746</v>
      </c>
      <c r="J3" s="468"/>
      <c r="K3" s="468"/>
      <c r="L3" s="468"/>
      <c r="M3" s="468"/>
      <c r="N3" s="468"/>
      <c r="O3" s="467" t="s">
        <v>107</v>
      </c>
      <c r="P3" s="467" t="s">
        <v>108</v>
      </c>
      <c r="Q3" s="485" t="s">
        <v>109</v>
      </c>
      <c r="R3" s="486"/>
      <c r="S3" s="486"/>
      <c r="T3" s="469"/>
      <c r="U3" s="468" t="s">
        <v>110</v>
      </c>
      <c r="V3" s="468"/>
      <c r="W3" s="485" t="s">
        <v>111</v>
      </c>
      <c r="X3" s="486"/>
      <c r="Y3" s="469"/>
      <c r="Z3" s="467" t="s">
        <v>112</v>
      </c>
      <c r="AA3" s="468" t="s">
        <v>113</v>
      </c>
      <c r="AB3" s="468"/>
      <c r="AC3" s="467" t="s">
        <v>114</v>
      </c>
      <c r="AD3" s="467" t="s">
        <v>115</v>
      </c>
    </row>
    <row r="4" spans="1:30" ht="15">
      <c r="A4" s="470"/>
      <c r="B4" s="468"/>
      <c r="C4" s="468" t="s">
        <v>116</v>
      </c>
      <c r="D4" s="468" t="s">
        <v>117</v>
      </c>
      <c r="E4" s="468" t="s">
        <v>118</v>
      </c>
      <c r="F4" s="471" t="s">
        <v>119</v>
      </c>
      <c r="G4" s="472"/>
      <c r="H4" s="472"/>
      <c r="I4" s="468" t="s">
        <v>120</v>
      </c>
      <c r="J4" s="468"/>
      <c r="K4" s="468" t="s">
        <v>121</v>
      </c>
      <c r="L4" s="468"/>
      <c r="M4" s="468" t="s">
        <v>122</v>
      </c>
      <c r="N4" s="468"/>
      <c r="O4" s="470"/>
      <c r="P4" s="480" t="s">
        <v>123</v>
      </c>
      <c r="Q4" s="467"/>
      <c r="R4" s="467"/>
      <c r="S4" s="467"/>
      <c r="T4" s="467"/>
      <c r="U4" s="468" t="s">
        <v>747</v>
      </c>
      <c r="V4" s="468"/>
      <c r="W4" s="467" t="s">
        <v>125</v>
      </c>
      <c r="X4" s="467" t="s">
        <v>126</v>
      </c>
      <c r="Y4" s="467" t="s">
        <v>126</v>
      </c>
      <c r="Z4" s="470" t="s">
        <v>127</v>
      </c>
      <c r="AA4" s="468" t="s">
        <v>128</v>
      </c>
      <c r="AB4" s="468"/>
      <c r="AC4" s="473" t="s">
        <v>129</v>
      </c>
      <c r="AD4" s="473" t="s">
        <v>130</v>
      </c>
    </row>
    <row r="5" spans="1:30" ht="15">
      <c r="A5" s="470"/>
      <c r="B5" s="468"/>
      <c r="C5" s="468"/>
      <c r="D5" s="468"/>
      <c r="E5" s="468"/>
      <c r="F5" s="471"/>
      <c r="G5" s="472"/>
      <c r="H5" s="472"/>
      <c r="I5" s="468"/>
      <c r="J5" s="468"/>
      <c r="K5" s="468"/>
      <c r="L5" s="468"/>
      <c r="M5" s="468"/>
      <c r="N5" s="468"/>
      <c r="O5" s="473" t="s">
        <v>131</v>
      </c>
      <c r="P5" s="481" t="s">
        <v>132</v>
      </c>
      <c r="Q5" s="470"/>
      <c r="R5" s="470" t="s">
        <v>133</v>
      </c>
      <c r="S5" s="470"/>
      <c r="T5" s="470"/>
      <c r="U5" s="468"/>
      <c r="V5" s="468"/>
      <c r="W5" s="470"/>
      <c r="X5" s="470"/>
      <c r="Y5" s="470"/>
      <c r="Z5" s="473" t="s">
        <v>134</v>
      </c>
      <c r="AA5" s="468"/>
      <c r="AB5" s="468"/>
      <c r="AC5" s="467" t="s">
        <v>135</v>
      </c>
      <c r="AD5" s="489" t="s">
        <v>136</v>
      </c>
    </row>
    <row r="6" spans="1:30" ht="15">
      <c r="A6" s="473" t="s">
        <v>137</v>
      </c>
      <c r="B6" s="468"/>
      <c r="C6" s="468"/>
      <c r="D6" s="468"/>
      <c r="E6" s="468"/>
      <c r="F6" s="469" t="s">
        <v>120</v>
      </c>
      <c r="G6" s="468" t="s">
        <v>121</v>
      </c>
      <c r="H6" s="468" t="s">
        <v>122</v>
      </c>
      <c r="I6" s="468" t="s">
        <v>138</v>
      </c>
      <c r="J6" s="468" t="s">
        <v>139</v>
      </c>
      <c r="K6" s="468" t="s">
        <v>138</v>
      </c>
      <c r="L6" s="468" t="s">
        <v>139</v>
      </c>
      <c r="M6" s="468" t="s">
        <v>138</v>
      </c>
      <c r="N6" s="468" t="s">
        <v>139</v>
      </c>
      <c r="O6" s="468" t="s">
        <v>128</v>
      </c>
      <c r="P6" s="468" t="s">
        <v>128</v>
      </c>
      <c r="Q6" s="487" t="s">
        <v>406</v>
      </c>
      <c r="R6" s="473" t="s">
        <v>141</v>
      </c>
      <c r="S6" s="473" t="s">
        <v>142</v>
      </c>
      <c r="T6" s="473" t="s">
        <v>122</v>
      </c>
      <c r="U6" s="468" t="s">
        <v>138</v>
      </c>
      <c r="V6" s="468" t="s">
        <v>139</v>
      </c>
      <c r="W6" s="473"/>
      <c r="X6" s="473" t="s">
        <v>143</v>
      </c>
      <c r="Y6" s="473" t="s">
        <v>144</v>
      </c>
      <c r="Z6" s="468" t="s">
        <v>145</v>
      </c>
      <c r="AA6" s="472" t="s">
        <v>146</v>
      </c>
      <c r="AB6" s="472" t="s">
        <v>147</v>
      </c>
      <c r="AC6" s="473" t="s">
        <v>148</v>
      </c>
      <c r="AD6" s="487"/>
    </row>
    <row r="7" spans="1:30" ht="30" customHeight="1">
      <c r="A7" s="378">
        <v>1</v>
      </c>
      <c r="B7" s="378" t="s">
        <v>748</v>
      </c>
      <c r="C7" s="378"/>
      <c r="D7" s="378">
        <v>1</v>
      </c>
      <c r="E7" s="378"/>
      <c r="F7" s="378"/>
      <c r="G7" s="378">
        <v>8.23</v>
      </c>
      <c r="H7" s="474">
        <f aca="true" t="shared" si="0" ref="H7:H49">F7+G7</f>
        <v>8.23</v>
      </c>
      <c r="I7" s="378"/>
      <c r="J7" s="378"/>
      <c r="K7" s="378">
        <v>1670</v>
      </c>
      <c r="L7" s="378">
        <v>7</v>
      </c>
      <c r="M7" s="378">
        <f aca="true" t="shared" si="1" ref="M7:N49">I7+K7</f>
        <v>1670</v>
      </c>
      <c r="N7" s="378">
        <f t="shared" si="1"/>
        <v>7</v>
      </c>
      <c r="O7" s="378">
        <v>27</v>
      </c>
      <c r="P7" s="378">
        <v>21</v>
      </c>
      <c r="Q7" s="378"/>
      <c r="R7" s="378"/>
      <c r="S7" s="378"/>
      <c r="T7" s="378"/>
      <c r="U7" s="378"/>
      <c r="V7" s="378"/>
      <c r="W7" s="378"/>
      <c r="X7" s="378">
        <v>7</v>
      </c>
      <c r="Y7" s="378">
        <v>3</v>
      </c>
      <c r="Z7" s="378">
        <v>6</v>
      </c>
      <c r="AA7" s="378">
        <v>15</v>
      </c>
      <c r="AB7" s="378"/>
      <c r="AC7" s="490">
        <v>80.9381</v>
      </c>
      <c r="AD7" s="411">
        <v>0.7965632200813701</v>
      </c>
    </row>
    <row r="8" spans="1:30" ht="30" customHeight="1">
      <c r="A8" s="378">
        <v>2</v>
      </c>
      <c r="B8" s="378" t="s">
        <v>749</v>
      </c>
      <c r="C8" s="378"/>
      <c r="D8" s="378">
        <v>1</v>
      </c>
      <c r="E8" s="378"/>
      <c r="F8" s="474">
        <v>45.27</v>
      </c>
      <c r="G8" s="378">
        <v>1.1</v>
      </c>
      <c r="H8" s="474">
        <f t="shared" si="0"/>
        <v>46.370000000000005</v>
      </c>
      <c r="I8" s="378">
        <v>2499</v>
      </c>
      <c r="J8" s="378">
        <v>31</v>
      </c>
      <c r="K8" s="378">
        <v>1980</v>
      </c>
      <c r="L8" s="378">
        <v>18</v>
      </c>
      <c r="M8" s="378">
        <f t="shared" si="1"/>
        <v>4479</v>
      </c>
      <c r="N8" s="378">
        <f t="shared" si="1"/>
        <v>49</v>
      </c>
      <c r="O8" s="378">
        <v>171</v>
      </c>
      <c r="P8" s="378">
        <v>153</v>
      </c>
      <c r="Q8" s="378"/>
      <c r="R8" s="378">
        <v>3</v>
      </c>
      <c r="S8" s="378"/>
      <c r="T8" s="378">
        <v>3</v>
      </c>
      <c r="U8" s="378"/>
      <c r="V8" s="378"/>
      <c r="W8" s="378"/>
      <c r="X8" s="378">
        <v>49</v>
      </c>
      <c r="Y8" s="378">
        <v>6</v>
      </c>
      <c r="Z8" s="378">
        <v>43</v>
      </c>
      <c r="AA8" s="378">
        <v>147</v>
      </c>
      <c r="AB8" s="378"/>
      <c r="AC8" s="490">
        <v>246.1843</v>
      </c>
      <c r="AD8" s="411">
        <v>6.5685865225509525</v>
      </c>
    </row>
    <row r="9" spans="1:30" ht="30" customHeight="1">
      <c r="A9" s="378">
        <v>3</v>
      </c>
      <c r="B9" s="378" t="s">
        <v>750</v>
      </c>
      <c r="C9" s="378"/>
      <c r="D9" s="378">
        <v>1</v>
      </c>
      <c r="E9" s="378"/>
      <c r="F9" s="474">
        <v>5.539000000000001</v>
      </c>
      <c r="G9" s="378">
        <v>0.031</v>
      </c>
      <c r="H9" s="474">
        <f t="shared" si="0"/>
        <v>5.57</v>
      </c>
      <c r="I9" s="378">
        <v>453</v>
      </c>
      <c r="J9" s="378">
        <v>6</v>
      </c>
      <c r="K9" s="378">
        <v>425</v>
      </c>
      <c r="L9" s="378">
        <v>3</v>
      </c>
      <c r="M9" s="378">
        <f t="shared" si="1"/>
        <v>878</v>
      </c>
      <c r="N9" s="378">
        <f t="shared" si="1"/>
        <v>9</v>
      </c>
      <c r="O9" s="378">
        <v>36</v>
      </c>
      <c r="P9" s="378">
        <v>36</v>
      </c>
      <c r="Q9" s="378"/>
      <c r="R9" s="378"/>
      <c r="S9" s="378"/>
      <c r="T9" s="378"/>
      <c r="U9" s="378"/>
      <c r="V9" s="378"/>
      <c r="W9" s="378"/>
      <c r="X9" s="378">
        <v>9</v>
      </c>
      <c r="Y9" s="378">
        <v>1</v>
      </c>
      <c r="Z9" s="378">
        <v>9</v>
      </c>
      <c r="AA9" s="378">
        <v>15</v>
      </c>
      <c r="AB9" s="378"/>
      <c r="AC9" s="490">
        <v>60.6138</v>
      </c>
      <c r="AD9" s="411">
        <v>7.06</v>
      </c>
    </row>
    <row r="10" spans="1:30" ht="30" customHeight="1">
      <c r="A10" s="378">
        <v>4</v>
      </c>
      <c r="B10" s="378" t="s">
        <v>751</v>
      </c>
      <c r="C10" s="378"/>
      <c r="D10" s="378">
        <v>1</v>
      </c>
      <c r="E10" s="378"/>
      <c r="F10" s="474">
        <v>49.74</v>
      </c>
      <c r="G10" s="378">
        <v>0.7999999999999972</v>
      </c>
      <c r="H10" s="474">
        <f t="shared" si="0"/>
        <v>50.54</v>
      </c>
      <c r="I10" s="378">
        <v>2403</v>
      </c>
      <c r="J10" s="378">
        <v>34</v>
      </c>
      <c r="K10" s="378">
        <v>1168</v>
      </c>
      <c r="L10" s="378">
        <v>7</v>
      </c>
      <c r="M10" s="378">
        <f t="shared" si="1"/>
        <v>3571</v>
      </c>
      <c r="N10" s="378">
        <f t="shared" si="1"/>
        <v>41</v>
      </c>
      <c r="O10" s="378">
        <v>156</v>
      </c>
      <c r="P10" s="378">
        <v>138</v>
      </c>
      <c r="Q10" s="378"/>
      <c r="R10" s="378">
        <v>2</v>
      </c>
      <c r="S10" s="378"/>
      <c r="T10" s="378">
        <v>2</v>
      </c>
      <c r="U10" s="378"/>
      <c r="V10" s="378"/>
      <c r="W10" s="378"/>
      <c r="X10" s="378">
        <v>41</v>
      </c>
      <c r="Y10" s="378">
        <v>3</v>
      </c>
      <c r="Z10" s="378">
        <v>35</v>
      </c>
      <c r="AA10" s="378">
        <v>102</v>
      </c>
      <c r="AB10" s="378"/>
      <c r="AC10" s="490">
        <v>107.2996</v>
      </c>
      <c r="AD10" s="411">
        <v>7.4700332867663475</v>
      </c>
    </row>
    <row r="11" spans="1:30" ht="30" customHeight="1">
      <c r="A11" s="378">
        <v>5</v>
      </c>
      <c r="B11" s="378" t="s">
        <v>752</v>
      </c>
      <c r="C11" s="378"/>
      <c r="D11" s="378">
        <v>1</v>
      </c>
      <c r="E11" s="378"/>
      <c r="F11" s="474">
        <v>4.28</v>
      </c>
      <c r="G11" s="378">
        <v>0.27</v>
      </c>
      <c r="H11" s="474">
        <f t="shared" si="0"/>
        <v>4.550000000000001</v>
      </c>
      <c r="I11" s="378">
        <v>1835</v>
      </c>
      <c r="J11" s="378">
        <v>7</v>
      </c>
      <c r="K11" s="378">
        <v>2165</v>
      </c>
      <c r="L11" s="378">
        <v>9</v>
      </c>
      <c r="M11" s="378">
        <f t="shared" si="1"/>
        <v>4000</v>
      </c>
      <c r="N11" s="378">
        <f t="shared" si="1"/>
        <v>16</v>
      </c>
      <c r="O11" s="378">
        <f>22*3</f>
        <v>66</v>
      </c>
      <c r="P11" s="378">
        <f>17*3</f>
        <v>51</v>
      </c>
      <c r="Q11" s="378"/>
      <c r="R11" s="378">
        <v>1</v>
      </c>
      <c r="S11" s="378"/>
      <c r="T11" s="378">
        <v>1</v>
      </c>
      <c r="U11" s="378"/>
      <c r="V11" s="378"/>
      <c r="W11" s="378"/>
      <c r="X11" s="378">
        <v>16</v>
      </c>
      <c r="Y11" s="378">
        <v>3</v>
      </c>
      <c r="Z11" s="378">
        <v>16</v>
      </c>
      <c r="AA11" s="378">
        <v>48</v>
      </c>
      <c r="AB11" s="378"/>
      <c r="AC11" s="490">
        <v>351.14169999999996</v>
      </c>
      <c r="AD11" s="491">
        <v>5.724154410382813</v>
      </c>
    </row>
    <row r="12" spans="1:30" ht="30" customHeight="1">
      <c r="A12" s="378">
        <v>6</v>
      </c>
      <c r="B12" s="378" t="s">
        <v>753</v>
      </c>
      <c r="C12" s="378"/>
      <c r="D12" s="378">
        <v>1</v>
      </c>
      <c r="E12" s="378"/>
      <c r="F12" s="474">
        <v>6.225</v>
      </c>
      <c r="G12" s="378"/>
      <c r="H12" s="474">
        <f t="shared" si="0"/>
        <v>6.225</v>
      </c>
      <c r="I12" s="378">
        <v>540</v>
      </c>
      <c r="J12" s="378">
        <v>8</v>
      </c>
      <c r="K12" s="378">
        <v>80</v>
      </c>
      <c r="L12" s="378">
        <v>1</v>
      </c>
      <c r="M12" s="378">
        <f t="shared" si="1"/>
        <v>620</v>
      </c>
      <c r="N12" s="378">
        <f t="shared" si="1"/>
        <v>9</v>
      </c>
      <c r="O12" s="378">
        <f>14*3</f>
        <v>42</v>
      </c>
      <c r="P12" s="378">
        <v>27</v>
      </c>
      <c r="Q12" s="378"/>
      <c r="R12" s="378">
        <v>2</v>
      </c>
      <c r="S12" s="378"/>
      <c r="T12" s="378">
        <v>2</v>
      </c>
      <c r="U12" s="378"/>
      <c r="V12" s="378"/>
      <c r="W12" s="488"/>
      <c r="X12" s="378">
        <v>9</v>
      </c>
      <c r="Y12" s="378">
        <v>1</v>
      </c>
      <c r="Z12" s="378">
        <v>7</v>
      </c>
      <c r="AA12" s="378">
        <v>27</v>
      </c>
      <c r="AB12" s="378"/>
      <c r="AC12" s="490">
        <v>219.4235</v>
      </c>
      <c r="AD12" s="411">
        <v>7.594038474496327</v>
      </c>
    </row>
    <row r="13" spans="1:30" ht="30" customHeight="1">
      <c r="A13" s="378">
        <v>7</v>
      </c>
      <c r="B13" s="378" t="s">
        <v>754</v>
      </c>
      <c r="C13" s="378"/>
      <c r="D13" s="378">
        <v>1</v>
      </c>
      <c r="E13" s="378"/>
      <c r="F13" s="474">
        <v>50.28</v>
      </c>
      <c r="G13" s="378">
        <v>0.87</v>
      </c>
      <c r="H13" s="474">
        <f t="shared" si="0"/>
        <v>51.15</v>
      </c>
      <c r="I13" s="378">
        <v>1105</v>
      </c>
      <c r="J13" s="378">
        <v>25</v>
      </c>
      <c r="K13" s="378">
        <v>2128</v>
      </c>
      <c r="L13" s="378">
        <v>13</v>
      </c>
      <c r="M13" s="378">
        <f t="shared" si="1"/>
        <v>3233</v>
      </c>
      <c r="N13" s="378">
        <f t="shared" si="1"/>
        <v>38</v>
      </c>
      <c r="O13" s="378">
        <v>144</v>
      </c>
      <c r="P13" s="378">
        <v>126</v>
      </c>
      <c r="Q13" s="378"/>
      <c r="R13" s="378">
        <v>2</v>
      </c>
      <c r="S13" s="378"/>
      <c r="T13" s="378">
        <v>2</v>
      </c>
      <c r="U13" s="378"/>
      <c r="V13" s="378"/>
      <c r="W13" s="378"/>
      <c r="X13" s="378">
        <v>38</v>
      </c>
      <c r="Y13" s="378">
        <v>3</v>
      </c>
      <c r="Z13" s="378">
        <v>38</v>
      </c>
      <c r="AA13" s="378">
        <v>93</v>
      </c>
      <c r="AB13" s="378"/>
      <c r="AC13" s="490">
        <v>533.3325</v>
      </c>
      <c r="AD13" s="411">
        <v>6.54469679168026</v>
      </c>
    </row>
    <row r="14" spans="1:30" ht="30" customHeight="1">
      <c r="A14" s="378">
        <v>8</v>
      </c>
      <c r="B14" s="475" t="s">
        <v>755</v>
      </c>
      <c r="C14" s="378"/>
      <c r="D14" s="378">
        <v>1</v>
      </c>
      <c r="E14" s="378"/>
      <c r="F14" s="474">
        <v>4.21</v>
      </c>
      <c r="G14" s="378"/>
      <c r="H14" s="474">
        <f t="shared" si="0"/>
        <v>4.21</v>
      </c>
      <c r="I14" s="378"/>
      <c r="J14" s="378"/>
      <c r="K14" s="378"/>
      <c r="L14" s="378"/>
      <c r="M14" s="378">
        <f t="shared" si="1"/>
        <v>0</v>
      </c>
      <c r="N14" s="378">
        <f t="shared" si="1"/>
        <v>0</v>
      </c>
      <c r="O14" s="378"/>
      <c r="P14" s="378"/>
      <c r="Q14" s="378"/>
      <c r="R14" s="378"/>
      <c r="S14" s="378"/>
      <c r="T14" s="378"/>
      <c r="U14" s="378"/>
      <c r="V14" s="378"/>
      <c r="W14" s="378"/>
      <c r="X14" s="378">
        <v>0</v>
      </c>
      <c r="Y14" s="378"/>
      <c r="Z14" s="378"/>
      <c r="AA14" s="378"/>
      <c r="AB14" s="378"/>
      <c r="AC14" s="492">
        <v>6.9824</v>
      </c>
      <c r="AD14" s="411">
        <v>6.5</v>
      </c>
    </row>
    <row r="15" spans="1:30" ht="30" customHeight="1">
      <c r="A15" s="378">
        <v>9</v>
      </c>
      <c r="B15" s="378" t="s">
        <v>756</v>
      </c>
      <c r="C15" s="378"/>
      <c r="D15" s="378">
        <v>1</v>
      </c>
      <c r="E15" s="378"/>
      <c r="F15" s="474">
        <v>4.68</v>
      </c>
      <c r="G15" s="378"/>
      <c r="H15" s="474">
        <f t="shared" si="0"/>
        <v>4.68</v>
      </c>
      <c r="I15" s="378">
        <v>325</v>
      </c>
      <c r="J15" s="378">
        <v>4</v>
      </c>
      <c r="K15" s="378">
        <v>160</v>
      </c>
      <c r="L15" s="378">
        <v>1</v>
      </c>
      <c r="M15" s="378">
        <f t="shared" si="1"/>
        <v>485</v>
      </c>
      <c r="N15" s="378">
        <f t="shared" si="1"/>
        <v>5</v>
      </c>
      <c r="O15" s="378">
        <v>24</v>
      </c>
      <c r="P15" s="378">
        <v>15</v>
      </c>
      <c r="Q15" s="378"/>
      <c r="R15" s="378"/>
      <c r="S15" s="378"/>
      <c r="T15" s="378"/>
      <c r="U15" s="378"/>
      <c r="V15" s="378"/>
      <c r="W15" s="378"/>
      <c r="X15" s="378">
        <v>5</v>
      </c>
      <c r="Y15" s="378">
        <v>3</v>
      </c>
      <c r="Z15" s="378">
        <v>3</v>
      </c>
      <c r="AA15" s="378">
        <v>12</v>
      </c>
      <c r="AB15" s="378">
        <v>3</v>
      </c>
      <c r="AC15" s="490">
        <v>84.1232</v>
      </c>
      <c r="AD15" s="411">
        <v>6.660453143377043</v>
      </c>
    </row>
    <row r="16" spans="1:30" ht="30" customHeight="1">
      <c r="A16" s="378">
        <v>10</v>
      </c>
      <c r="B16" s="378" t="s">
        <v>757</v>
      </c>
      <c r="C16" s="378"/>
      <c r="D16" s="378">
        <v>1</v>
      </c>
      <c r="E16" s="378"/>
      <c r="F16" s="474">
        <v>16.55</v>
      </c>
      <c r="G16" s="378">
        <v>0.31</v>
      </c>
      <c r="H16" s="474">
        <f t="shared" si="0"/>
        <v>16.86</v>
      </c>
      <c r="I16" s="378">
        <v>753</v>
      </c>
      <c r="J16" s="378">
        <v>12</v>
      </c>
      <c r="K16" s="378">
        <v>515</v>
      </c>
      <c r="L16" s="378">
        <v>3</v>
      </c>
      <c r="M16" s="378">
        <f t="shared" si="1"/>
        <v>1268</v>
      </c>
      <c r="N16" s="378">
        <f t="shared" si="1"/>
        <v>15</v>
      </c>
      <c r="O16" s="378">
        <f>18*3</f>
        <v>54</v>
      </c>
      <c r="P16" s="378">
        <f>21*3</f>
        <v>63</v>
      </c>
      <c r="Q16" s="378"/>
      <c r="R16" s="378">
        <v>1</v>
      </c>
      <c r="S16" s="378"/>
      <c r="T16" s="378">
        <v>1</v>
      </c>
      <c r="U16" s="378"/>
      <c r="V16" s="378"/>
      <c r="W16" s="378"/>
      <c r="X16" s="378">
        <v>15</v>
      </c>
      <c r="Y16" s="378">
        <v>1</v>
      </c>
      <c r="Z16" s="378">
        <v>3</v>
      </c>
      <c r="AA16" s="378">
        <v>16</v>
      </c>
      <c r="AB16" s="378"/>
      <c r="AC16" s="492"/>
      <c r="AD16" s="411"/>
    </row>
    <row r="17" spans="1:30" ht="30" customHeight="1">
      <c r="A17" s="378">
        <v>11</v>
      </c>
      <c r="B17" s="378" t="s">
        <v>758</v>
      </c>
      <c r="C17" s="378"/>
      <c r="D17" s="378">
        <v>1</v>
      </c>
      <c r="E17" s="378"/>
      <c r="F17" s="474">
        <v>24.7</v>
      </c>
      <c r="G17" s="411">
        <v>6.26</v>
      </c>
      <c r="H17" s="474">
        <f t="shared" si="0"/>
        <v>30.96</v>
      </c>
      <c r="I17" s="378">
        <v>1353</v>
      </c>
      <c r="J17" s="378">
        <v>18</v>
      </c>
      <c r="K17" s="378">
        <v>7535</v>
      </c>
      <c r="L17" s="378">
        <v>26</v>
      </c>
      <c r="M17" s="378">
        <f t="shared" si="1"/>
        <v>8888</v>
      </c>
      <c r="N17" s="378">
        <f t="shared" si="1"/>
        <v>44</v>
      </c>
      <c r="O17" s="378">
        <f>45*3</f>
        <v>135</v>
      </c>
      <c r="P17" s="378">
        <f>44*3+9</f>
        <v>141</v>
      </c>
      <c r="Q17" s="378"/>
      <c r="R17" s="378">
        <v>3</v>
      </c>
      <c r="S17" s="378"/>
      <c r="T17" s="378">
        <v>3</v>
      </c>
      <c r="U17" s="378"/>
      <c r="V17" s="378"/>
      <c r="W17" s="378"/>
      <c r="X17" s="378">
        <v>44</v>
      </c>
      <c r="Y17" s="378">
        <v>18</v>
      </c>
      <c r="Z17" s="378">
        <v>40</v>
      </c>
      <c r="AA17" s="378">
        <v>132</v>
      </c>
      <c r="AB17" s="378"/>
      <c r="AC17" s="490">
        <v>1790.9227000000003</v>
      </c>
      <c r="AD17" s="491">
        <v>6.14996823843694</v>
      </c>
    </row>
    <row r="18" spans="1:30" ht="30" customHeight="1">
      <c r="A18" s="378">
        <v>12</v>
      </c>
      <c r="B18" s="378" t="s">
        <v>759</v>
      </c>
      <c r="C18" s="378">
        <v>1</v>
      </c>
      <c r="D18" s="378"/>
      <c r="E18" s="378"/>
      <c r="F18" s="474">
        <v>5.67</v>
      </c>
      <c r="G18" s="378"/>
      <c r="H18" s="474">
        <f t="shared" si="0"/>
        <v>5.67</v>
      </c>
      <c r="I18" s="378">
        <v>1175</v>
      </c>
      <c r="J18" s="378">
        <v>5</v>
      </c>
      <c r="K18" s="378">
        <v>6395</v>
      </c>
      <c r="L18" s="378">
        <v>35</v>
      </c>
      <c r="M18" s="378">
        <f t="shared" si="1"/>
        <v>7570</v>
      </c>
      <c r="N18" s="378">
        <f t="shared" si="1"/>
        <v>40</v>
      </c>
      <c r="O18" s="378">
        <f>45*3</f>
        <v>135</v>
      </c>
      <c r="P18" s="378">
        <v>120</v>
      </c>
      <c r="Q18" s="378"/>
      <c r="R18" s="378">
        <v>2</v>
      </c>
      <c r="S18" s="378"/>
      <c r="T18" s="378">
        <v>2</v>
      </c>
      <c r="U18" s="378"/>
      <c r="V18" s="378"/>
      <c r="W18" s="378"/>
      <c r="X18" s="378">
        <v>40</v>
      </c>
      <c r="Y18" s="378">
        <v>34</v>
      </c>
      <c r="Z18" s="378">
        <v>32</v>
      </c>
      <c r="AA18" s="378">
        <v>120</v>
      </c>
      <c r="AB18" s="378"/>
      <c r="AC18" s="490">
        <v>707.1759999999999</v>
      </c>
      <c r="AD18" s="491">
        <v>4.114849143892276</v>
      </c>
    </row>
    <row r="19" spans="1:30" ht="30" customHeight="1">
      <c r="A19" s="378">
        <v>13</v>
      </c>
      <c r="B19" s="475" t="s">
        <v>760</v>
      </c>
      <c r="C19" s="475"/>
      <c r="D19" s="378">
        <v>1</v>
      </c>
      <c r="E19" s="475"/>
      <c r="F19" s="476">
        <v>3.3</v>
      </c>
      <c r="G19" s="475"/>
      <c r="H19" s="474">
        <f t="shared" si="0"/>
        <v>3.3</v>
      </c>
      <c r="I19" s="475"/>
      <c r="J19" s="475"/>
      <c r="K19" s="475">
        <v>125</v>
      </c>
      <c r="L19" s="475">
        <v>1</v>
      </c>
      <c r="M19" s="378">
        <f t="shared" si="1"/>
        <v>125</v>
      </c>
      <c r="N19" s="378">
        <f t="shared" si="1"/>
        <v>1</v>
      </c>
      <c r="O19" s="475">
        <v>3</v>
      </c>
      <c r="P19" s="475">
        <v>6</v>
      </c>
      <c r="Q19" s="475"/>
      <c r="R19" s="475"/>
      <c r="S19" s="475"/>
      <c r="T19" s="378"/>
      <c r="U19" s="475"/>
      <c r="V19" s="475"/>
      <c r="W19" s="475"/>
      <c r="X19" s="378">
        <v>1</v>
      </c>
      <c r="Y19" s="475"/>
      <c r="Z19" s="475">
        <v>1</v>
      </c>
      <c r="AA19" s="475">
        <v>3</v>
      </c>
      <c r="AB19" s="475"/>
      <c r="AC19" s="490">
        <v>0.5469999999999999</v>
      </c>
      <c r="AD19" s="411">
        <v>7.601351351351358</v>
      </c>
    </row>
    <row r="20" spans="1:30" ht="30" customHeight="1">
      <c r="A20" s="378">
        <v>14</v>
      </c>
      <c r="B20" s="378" t="s">
        <v>761</v>
      </c>
      <c r="C20" s="378"/>
      <c r="D20" s="378">
        <v>1</v>
      </c>
      <c r="E20" s="378"/>
      <c r="F20" s="474">
        <v>13.53</v>
      </c>
      <c r="G20" s="378"/>
      <c r="H20" s="474">
        <f t="shared" si="0"/>
        <v>13.53</v>
      </c>
      <c r="I20" s="482">
        <v>8480</v>
      </c>
      <c r="J20" s="378">
        <v>44</v>
      </c>
      <c r="K20" s="378">
        <v>13430</v>
      </c>
      <c r="L20" s="378">
        <v>36</v>
      </c>
      <c r="M20" s="378">
        <f t="shared" si="1"/>
        <v>21910</v>
      </c>
      <c r="N20" s="378">
        <f t="shared" si="1"/>
        <v>80</v>
      </c>
      <c r="O20" s="378">
        <v>399</v>
      </c>
      <c r="P20" s="378">
        <v>285</v>
      </c>
      <c r="Q20" s="378"/>
      <c r="R20" s="378">
        <v>9</v>
      </c>
      <c r="S20" s="378"/>
      <c r="T20" s="378">
        <v>9</v>
      </c>
      <c r="U20" s="378"/>
      <c r="V20" s="378"/>
      <c r="W20" s="378"/>
      <c r="X20" s="378">
        <v>80</v>
      </c>
      <c r="Y20" s="378">
        <v>44</v>
      </c>
      <c r="Z20" s="378">
        <v>62</v>
      </c>
      <c r="AA20" s="378">
        <v>240</v>
      </c>
      <c r="AB20" s="378"/>
      <c r="AC20" s="490">
        <v>2059.7709999999997</v>
      </c>
      <c r="AD20" s="411">
        <v>5.325464728987452</v>
      </c>
    </row>
    <row r="21" spans="1:30" ht="30" customHeight="1">
      <c r="A21" s="378">
        <v>15</v>
      </c>
      <c r="B21" s="475" t="s">
        <v>762</v>
      </c>
      <c r="C21" s="475"/>
      <c r="D21" s="378"/>
      <c r="E21" s="475">
        <v>1</v>
      </c>
      <c r="F21" s="476">
        <v>2.97</v>
      </c>
      <c r="G21" s="475"/>
      <c r="H21" s="474">
        <f t="shared" si="0"/>
        <v>2.97</v>
      </c>
      <c r="I21" s="475"/>
      <c r="J21" s="475"/>
      <c r="K21" s="475"/>
      <c r="L21" s="475"/>
      <c r="M21" s="378">
        <f t="shared" si="1"/>
        <v>0</v>
      </c>
      <c r="N21" s="378">
        <f t="shared" si="1"/>
        <v>0</v>
      </c>
      <c r="O21" s="475"/>
      <c r="P21" s="475"/>
      <c r="Q21" s="475"/>
      <c r="R21" s="475"/>
      <c r="S21" s="475"/>
      <c r="T21" s="378"/>
      <c r="U21" s="475"/>
      <c r="V21" s="475"/>
      <c r="W21" s="475"/>
      <c r="X21" s="378">
        <v>0</v>
      </c>
      <c r="Y21" s="475"/>
      <c r="Z21" s="475"/>
      <c r="AA21" s="475"/>
      <c r="AB21" s="475"/>
      <c r="AC21" s="378"/>
      <c r="AD21" s="411"/>
    </row>
    <row r="22" spans="1:30" ht="30" customHeight="1">
      <c r="A22" s="378">
        <v>16</v>
      </c>
      <c r="B22" s="378" t="s">
        <v>763</v>
      </c>
      <c r="C22" s="378"/>
      <c r="D22" s="378">
        <v>1</v>
      </c>
      <c r="E22" s="378"/>
      <c r="F22" s="474">
        <v>84.41</v>
      </c>
      <c r="G22" s="378">
        <v>1.48</v>
      </c>
      <c r="H22" s="474">
        <f t="shared" si="0"/>
        <v>85.89</v>
      </c>
      <c r="I22" s="378">
        <v>2288</v>
      </c>
      <c r="J22" s="378">
        <v>41</v>
      </c>
      <c r="K22" s="378">
        <v>300</v>
      </c>
      <c r="L22" s="378">
        <v>2</v>
      </c>
      <c r="M22" s="378">
        <f t="shared" si="1"/>
        <v>2588</v>
      </c>
      <c r="N22" s="378">
        <f t="shared" si="1"/>
        <v>43</v>
      </c>
      <c r="O22" s="378">
        <f>56*3</f>
        <v>168</v>
      </c>
      <c r="P22" s="378">
        <f>51*3</f>
        <v>153</v>
      </c>
      <c r="Q22" s="378"/>
      <c r="R22" s="378">
        <v>3</v>
      </c>
      <c r="S22" s="378"/>
      <c r="T22" s="378">
        <v>3</v>
      </c>
      <c r="U22" s="378"/>
      <c r="V22" s="378"/>
      <c r="W22" s="488"/>
      <c r="X22" s="378">
        <v>43</v>
      </c>
      <c r="Y22" s="378">
        <v>1</v>
      </c>
      <c r="Z22" s="378">
        <v>21</v>
      </c>
      <c r="AA22" s="378">
        <v>27</v>
      </c>
      <c r="AB22" s="378"/>
      <c r="AC22" s="490">
        <v>256.6074</v>
      </c>
      <c r="AD22" s="411">
        <v>7.532197037944581</v>
      </c>
    </row>
    <row r="23" spans="1:30" ht="30" customHeight="1">
      <c r="A23" s="378">
        <v>17</v>
      </c>
      <c r="B23" s="378" t="s">
        <v>764</v>
      </c>
      <c r="C23" s="378"/>
      <c r="D23" s="378">
        <v>1</v>
      </c>
      <c r="E23" s="378"/>
      <c r="F23" s="474">
        <v>7.84</v>
      </c>
      <c r="G23" s="378"/>
      <c r="H23" s="474">
        <f t="shared" si="0"/>
        <v>7.84</v>
      </c>
      <c r="I23" s="378">
        <v>2105</v>
      </c>
      <c r="J23" s="378">
        <v>10</v>
      </c>
      <c r="K23" s="378">
        <v>3480</v>
      </c>
      <c r="L23" s="378">
        <v>21</v>
      </c>
      <c r="M23" s="378">
        <f t="shared" si="1"/>
        <v>5585</v>
      </c>
      <c r="N23" s="378">
        <f t="shared" si="1"/>
        <v>31</v>
      </c>
      <c r="O23" s="378">
        <f>41*3</f>
        <v>123</v>
      </c>
      <c r="P23" s="378">
        <f>35*3</f>
        <v>105</v>
      </c>
      <c r="Q23" s="378"/>
      <c r="R23" s="378">
        <v>3</v>
      </c>
      <c r="S23" s="378"/>
      <c r="T23" s="378">
        <v>3</v>
      </c>
      <c r="U23" s="378"/>
      <c r="V23" s="378"/>
      <c r="W23" s="378"/>
      <c r="X23" s="378">
        <v>31</v>
      </c>
      <c r="Y23" s="378">
        <v>14</v>
      </c>
      <c r="Z23" s="378">
        <v>31</v>
      </c>
      <c r="AA23" s="378">
        <v>93</v>
      </c>
      <c r="AB23" s="378"/>
      <c r="AC23" s="490">
        <v>1322.7799</v>
      </c>
      <c r="AD23" s="411">
        <v>5.7898594788963305</v>
      </c>
    </row>
    <row r="24" spans="1:30" ht="30" customHeight="1">
      <c r="A24" s="378">
        <v>18</v>
      </c>
      <c r="B24" s="378" t="s">
        <v>765</v>
      </c>
      <c r="C24" s="378"/>
      <c r="D24" s="378">
        <v>1</v>
      </c>
      <c r="E24" s="378"/>
      <c r="F24" s="474">
        <v>122.54</v>
      </c>
      <c r="G24" s="378">
        <v>6.82</v>
      </c>
      <c r="H24" s="474">
        <f t="shared" si="0"/>
        <v>129.36</v>
      </c>
      <c r="I24" s="378">
        <v>4235</v>
      </c>
      <c r="J24" s="378">
        <v>72</v>
      </c>
      <c r="K24" s="378">
        <v>4765</v>
      </c>
      <c r="L24" s="378">
        <v>16</v>
      </c>
      <c r="M24" s="378">
        <f t="shared" si="1"/>
        <v>9000</v>
      </c>
      <c r="N24" s="378">
        <f t="shared" si="1"/>
        <v>88</v>
      </c>
      <c r="O24" s="378">
        <f>88*3+10*3</f>
        <v>294</v>
      </c>
      <c r="P24" s="378">
        <f>88*3+15</f>
        <v>279</v>
      </c>
      <c r="Q24" s="378"/>
      <c r="R24" s="378">
        <v>4</v>
      </c>
      <c r="S24" s="378"/>
      <c r="T24" s="378">
        <v>4</v>
      </c>
      <c r="U24" s="378">
        <v>6000</v>
      </c>
      <c r="V24" s="378">
        <v>1</v>
      </c>
      <c r="W24" s="488"/>
      <c r="X24" s="378">
        <v>88</v>
      </c>
      <c r="Y24" s="378">
        <v>16</v>
      </c>
      <c r="Z24" s="378">
        <v>50</v>
      </c>
      <c r="AA24" s="378">
        <v>213</v>
      </c>
      <c r="AB24" s="378"/>
      <c r="AC24" s="490">
        <v>887.2213</v>
      </c>
      <c r="AD24" s="411">
        <v>11.00814458542396</v>
      </c>
    </row>
    <row r="25" spans="1:30" ht="30" customHeight="1">
      <c r="A25" s="378">
        <v>19</v>
      </c>
      <c r="B25" s="378" t="s">
        <v>766</v>
      </c>
      <c r="C25" s="378"/>
      <c r="D25" s="378">
        <v>1</v>
      </c>
      <c r="E25" s="378"/>
      <c r="F25" s="474">
        <v>16.77</v>
      </c>
      <c r="G25" s="378">
        <v>0.87</v>
      </c>
      <c r="H25" s="474">
        <f t="shared" si="0"/>
        <v>17.64</v>
      </c>
      <c r="I25" s="378">
        <v>2350</v>
      </c>
      <c r="J25" s="378">
        <v>20</v>
      </c>
      <c r="K25" s="378">
        <v>5120</v>
      </c>
      <c r="L25" s="378">
        <v>24</v>
      </c>
      <c r="M25" s="378">
        <f t="shared" si="1"/>
        <v>7470</v>
      </c>
      <c r="N25" s="378">
        <f t="shared" si="1"/>
        <v>44</v>
      </c>
      <c r="O25" s="378">
        <f>52*3</f>
        <v>156</v>
      </c>
      <c r="P25" s="378">
        <f>45*3</f>
        <v>135</v>
      </c>
      <c r="Q25" s="378"/>
      <c r="R25" s="378">
        <v>4</v>
      </c>
      <c r="S25" s="378"/>
      <c r="T25" s="378">
        <v>4</v>
      </c>
      <c r="U25" s="378"/>
      <c r="V25" s="378"/>
      <c r="W25" s="488"/>
      <c r="X25" s="378">
        <v>44</v>
      </c>
      <c r="Y25" s="378">
        <v>10</v>
      </c>
      <c r="Z25" s="378">
        <v>18</v>
      </c>
      <c r="AA25" s="378">
        <v>135</v>
      </c>
      <c r="AB25" s="378">
        <v>3</v>
      </c>
      <c r="AC25" s="490">
        <v>1003.1473000000001</v>
      </c>
      <c r="AD25" s="411">
        <v>7.5461579226285105</v>
      </c>
    </row>
    <row r="26" spans="1:30" ht="30" customHeight="1">
      <c r="A26" s="378">
        <v>20</v>
      </c>
      <c r="B26" s="378" t="s">
        <v>767</v>
      </c>
      <c r="C26" s="378"/>
      <c r="D26" s="378">
        <v>1</v>
      </c>
      <c r="E26" s="378"/>
      <c r="F26" s="474">
        <v>5.31</v>
      </c>
      <c r="G26" s="378"/>
      <c r="H26" s="474">
        <f t="shared" si="0"/>
        <v>5.31</v>
      </c>
      <c r="I26" s="482">
        <v>4635</v>
      </c>
      <c r="J26" s="378">
        <v>20</v>
      </c>
      <c r="K26" s="378">
        <v>5410</v>
      </c>
      <c r="L26" s="378">
        <v>26</v>
      </c>
      <c r="M26" s="378">
        <f t="shared" si="1"/>
        <v>10045</v>
      </c>
      <c r="N26" s="378">
        <f t="shared" si="1"/>
        <v>46</v>
      </c>
      <c r="O26" s="378">
        <f>61*3</f>
        <v>183</v>
      </c>
      <c r="P26" s="378">
        <f>48*3</f>
        <v>144</v>
      </c>
      <c r="Q26" s="378"/>
      <c r="R26" s="378">
        <v>6</v>
      </c>
      <c r="S26" s="378"/>
      <c r="T26" s="378">
        <v>6</v>
      </c>
      <c r="U26" s="378"/>
      <c r="V26" s="378"/>
      <c r="W26" s="378"/>
      <c r="X26" s="378">
        <v>46</v>
      </c>
      <c r="Y26" s="378">
        <v>12</v>
      </c>
      <c r="Z26" s="378">
        <v>40</v>
      </c>
      <c r="AA26" s="378">
        <v>138</v>
      </c>
      <c r="AB26" s="378"/>
      <c r="AC26" s="490">
        <v>1362.7833</v>
      </c>
      <c r="AD26" s="491">
        <v>6.067288021571423</v>
      </c>
    </row>
    <row r="27" spans="1:30" ht="30" customHeight="1">
      <c r="A27" s="378">
        <v>21</v>
      </c>
      <c r="B27" s="378" t="s">
        <v>768</v>
      </c>
      <c r="C27" s="378"/>
      <c r="D27" s="378">
        <v>1</v>
      </c>
      <c r="E27" s="378"/>
      <c r="F27" s="474">
        <v>30.562</v>
      </c>
      <c r="G27" s="378">
        <v>2.68</v>
      </c>
      <c r="H27" s="474">
        <f t="shared" si="0"/>
        <v>33.242000000000004</v>
      </c>
      <c r="I27" s="378">
        <v>2305</v>
      </c>
      <c r="J27" s="378">
        <v>30</v>
      </c>
      <c r="K27" s="378">
        <v>4598</v>
      </c>
      <c r="L27" s="378">
        <v>18</v>
      </c>
      <c r="M27" s="378">
        <f t="shared" si="1"/>
        <v>6903</v>
      </c>
      <c r="N27" s="378">
        <f t="shared" si="1"/>
        <v>48</v>
      </c>
      <c r="O27" s="378">
        <v>159</v>
      </c>
      <c r="P27" s="378">
        <v>153</v>
      </c>
      <c r="Q27" s="378"/>
      <c r="R27" s="378">
        <v>3</v>
      </c>
      <c r="S27" s="378"/>
      <c r="T27" s="378">
        <v>3</v>
      </c>
      <c r="U27" s="378"/>
      <c r="V27" s="378"/>
      <c r="W27" s="378"/>
      <c r="X27" s="378">
        <v>48</v>
      </c>
      <c r="Y27" s="378">
        <v>18</v>
      </c>
      <c r="Z27" s="378">
        <v>27</v>
      </c>
      <c r="AA27" s="378">
        <v>129</v>
      </c>
      <c r="AB27" s="378"/>
      <c r="AC27" s="490">
        <v>839.3106</v>
      </c>
      <c r="AD27" s="411">
        <v>8.230654029561519</v>
      </c>
    </row>
    <row r="28" spans="1:30" ht="30" customHeight="1">
      <c r="A28" s="378">
        <v>22</v>
      </c>
      <c r="B28" s="378" t="s">
        <v>769</v>
      </c>
      <c r="C28" s="378"/>
      <c r="D28" s="378">
        <v>1</v>
      </c>
      <c r="E28" s="378"/>
      <c r="F28" s="474">
        <v>63.74</v>
      </c>
      <c r="G28" s="378">
        <v>4.87</v>
      </c>
      <c r="H28" s="474">
        <f t="shared" si="0"/>
        <v>68.61</v>
      </c>
      <c r="I28" s="378">
        <v>2533</v>
      </c>
      <c r="J28" s="378">
        <v>39</v>
      </c>
      <c r="K28" s="378">
        <v>9942</v>
      </c>
      <c r="L28" s="378">
        <v>29</v>
      </c>
      <c r="M28" s="378">
        <f t="shared" si="1"/>
        <v>12475</v>
      </c>
      <c r="N28" s="378">
        <f t="shared" si="1"/>
        <v>68</v>
      </c>
      <c r="O28" s="378">
        <f>82*3</f>
        <v>246</v>
      </c>
      <c r="P28" s="378">
        <f>68*3</f>
        <v>204</v>
      </c>
      <c r="Q28" s="378"/>
      <c r="R28" s="378">
        <v>7</v>
      </c>
      <c r="S28" s="378"/>
      <c r="T28" s="378">
        <v>7</v>
      </c>
      <c r="U28" s="378"/>
      <c r="V28" s="378"/>
      <c r="W28" s="378"/>
      <c r="X28" s="378">
        <v>68</v>
      </c>
      <c r="Y28" s="378">
        <v>29</v>
      </c>
      <c r="Z28" s="378">
        <v>60</v>
      </c>
      <c r="AA28" s="378">
        <v>68</v>
      </c>
      <c r="AB28" s="378"/>
      <c r="AC28" s="490">
        <v>1199.3981999999999</v>
      </c>
      <c r="AD28" s="411">
        <v>7.508224331064628</v>
      </c>
    </row>
    <row r="29" spans="1:30" ht="30" customHeight="1">
      <c r="A29" s="378">
        <v>23</v>
      </c>
      <c r="B29" s="378" t="s">
        <v>770</v>
      </c>
      <c r="C29" s="378"/>
      <c r="D29" s="378">
        <v>1</v>
      </c>
      <c r="E29" s="378"/>
      <c r="F29" s="474">
        <v>12.77</v>
      </c>
      <c r="G29" s="378">
        <v>0.15</v>
      </c>
      <c r="H29" s="474">
        <f t="shared" si="0"/>
        <v>12.92</v>
      </c>
      <c r="I29" s="378">
        <v>7800</v>
      </c>
      <c r="J29" s="378">
        <v>33</v>
      </c>
      <c r="K29" s="378">
        <v>24350</v>
      </c>
      <c r="L29" s="378">
        <v>39</v>
      </c>
      <c r="M29" s="378">
        <f t="shared" si="1"/>
        <v>32150</v>
      </c>
      <c r="N29" s="378">
        <f t="shared" si="1"/>
        <v>72</v>
      </c>
      <c r="O29" s="378">
        <v>258</v>
      </c>
      <c r="P29" s="378">
        <v>330</v>
      </c>
      <c r="Q29" s="378"/>
      <c r="R29" s="378">
        <v>9</v>
      </c>
      <c r="S29" s="378"/>
      <c r="T29" s="378">
        <v>9</v>
      </c>
      <c r="U29" s="378"/>
      <c r="V29" s="378"/>
      <c r="W29" s="378"/>
      <c r="X29" s="378">
        <v>72</v>
      </c>
      <c r="Y29" s="378">
        <v>46</v>
      </c>
      <c r="Z29" s="378">
        <v>50</v>
      </c>
      <c r="AA29" s="378">
        <v>216</v>
      </c>
      <c r="AB29" s="378"/>
      <c r="AC29" s="490">
        <v>2088.1170999999995</v>
      </c>
      <c r="AD29" s="491">
        <v>4.862272169765793</v>
      </c>
    </row>
    <row r="30" spans="1:30" ht="30" customHeight="1">
      <c r="A30" s="378">
        <v>24</v>
      </c>
      <c r="B30" s="378" t="s">
        <v>771</v>
      </c>
      <c r="C30" s="378"/>
      <c r="D30" s="378">
        <v>1</v>
      </c>
      <c r="E30" s="378"/>
      <c r="F30" s="474">
        <v>4.57</v>
      </c>
      <c r="G30" s="378"/>
      <c r="H30" s="474">
        <f t="shared" si="0"/>
        <v>4.57</v>
      </c>
      <c r="I30" s="482">
        <v>2000</v>
      </c>
      <c r="J30" s="378">
        <v>8</v>
      </c>
      <c r="K30" s="378">
        <v>1850</v>
      </c>
      <c r="L30" s="378">
        <v>20</v>
      </c>
      <c r="M30" s="378">
        <f t="shared" si="1"/>
        <v>3850</v>
      </c>
      <c r="N30" s="378">
        <f t="shared" si="1"/>
        <v>28</v>
      </c>
      <c r="O30" s="378">
        <f>35*3</f>
        <v>105</v>
      </c>
      <c r="P30" s="378">
        <f>34*3</f>
        <v>102</v>
      </c>
      <c r="Q30" s="378"/>
      <c r="R30" s="378">
        <v>2</v>
      </c>
      <c r="S30" s="378"/>
      <c r="T30" s="378">
        <v>2</v>
      </c>
      <c r="U30" s="378"/>
      <c r="V30" s="378"/>
      <c r="W30" s="378"/>
      <c r="X30" s="378">
        <v>28</v>
      </c>
      <c r="Y30" s="378">
        <v>14</v>
      </c>
      <c r="Z30" s="378">
        <v>24</v>
      </c>
      <c r="AA30" s="378">
        <v>84</v>
      </c>
      <c r="AB30" s="378"/>
      <c r="AC30" s="490">
        <v>393.77709999999996</v>
      </c>
      <c r="AD30" s="411">
        <v>6.20871085450786</v>
      </c>
    </row>
    <row r="31" spans="1:30" ht="30" customHeight="1">
      <c r="A31" s="378">
        <v>25</v>
      </c>
      <c r="B31" s="378" t="s">
        <v>772</v>
      </c>
      <c r="C31" s="378">
        <v>1</v>
      </c>
      <c r="D31" s="378"/>
      <c r="E31" s="378"/>
      <c r="F31" s="474">
        <v>1.16</v>
      </c>
      <c r="G31" s="378">
        <v>0.112</v>
      </c>
      <c r="H31" s="474">
        <f t="shared" si="0"/>
        <v>1.272</v>
      </c>
      <c r="I31" s="378">
        <v>355</v>
      </c>
      <c r="J31" s="378">
        <v>3</v>
      </c>
      <c r="K31" s="378">
        <v>4165</v>
      </c>
      <c r="L31" s="378">
        <v>21</v>
      </c>
      <c r="M31" s="378">
        <f t="shared" si="1"/>
        <v>4520</v>
      </c>
      <c r="N31" s="378">
        <f t="shared" si="1"/>
        <v>24</v>
      </c>
      <c r="O31" s="378">
        <f>30*3</f>
        <v>90</v>
      </c>
      <c r="P31" s="378">
        <f>26*3</f>
        <v>78</v>
      </c>
      <c r="Q31" s="378"/>
      <c r="R31" s="378">
        <v>2</v>
      </c>
      <c r="S31" s="378"/>
      <c r="T31" s="378">
        <v>2</v>
      </c>
      <c r="U31" s="378"/>
      <c r="V31" s="378"/>
      <c r="W31" s="378"/>
      <c r="X31" s="378">
        <v>24</v>
      </c>
      <c r="Y31" s="378">
        <v>2</v>
      </c>
      <c r="Z31" s="378">
        <v>25</v>
      </c>
      <c r="AA31" s="378">
        <v>72</v>
      </c>
      <c r="AB31" s="378"/>
      <c r="AC31" s="490">
        <v>1844.3981999999999</v>
      </c>
      <c r="AD31" s="411">
        <v>4.746455102091407</v>
      </c>
    </row>
    <row r="32" spans="1:30" ht="30" customHeight="1">
      <c r="A32" s="378">
        <v>26</v>
      </c>
      <c r="B32" s="378" t="s">
        <v>773</v>
      </c>
      <c r="C32" s="378"/>
      <c r="D32" s="378">
        <v>1</v>
      </c>
      <c r="E32" s="378"/>
      <c r="F32" s="474">
        <v>22.11</v>
      </c>
      <c r="G32" s="378">
        <v>0.38</v>
      </c>
      <c r="H32" s="474">
        <f t="shared" si="0"/>
        <v>22.49</v>
      </c>
      <c r="I32" s="378">
        <v>380</v>
      </c>
      <c r="J32" s="378">
        <v>9</v>
      </c>
      <c r="K32" s="378">
        <v>200</v>
      </c>
      <c r="L32" s="378">
        <v>1</v>
      </c>
      <c r="M32" s="378">
        <f t="shared" si="1"/>
        <v>580</v>
      </c>
      <c r="N32" s="378">
        <f t="shared" si="1"/>
        <v>10</v>
      </c>
      <c r="O32" s="378">
        <f>18*3</f>
        <v>54</v>
      </c>
      <c r="P32" s="378">
        <v>36</v>
      </c>
      <c r="Q32" s="378"/>
      <c r="R32" s="378">
        <v>1</v>
      </c>
      <c r="S32" s="378"/>
      <c r="T32" s="378">
        <v>1</v>
      </c>
      <c r="U32" s="378"/>
      <c r="V32" s="378"/>
      <c r="W32" s="378"/>
      <c r="X32" s="378">
        <v>10</v>
      </c>
      <c r="Y32" s="378">
        <v>1</v>
      </c>
      <c r="Z32" s="378">
        <v>8</v>
      </c>
      <c r="AA32" s="378">
        <v>6</v>
      </c>
      <c r="AB32" s="378"/>
      <c r="AC32" s="490">
        <v>44.089000000000006</v>
      </c>
      <c r="AD32" s="411">
        <v>7.231830997769636</v>
      </c>
    </row>
    <row r="33" spans="1:30" ht="30" customHeight="1">
      <c r="A33" s="378">
        <v>27</v>
      </c>
      <c r="B33" s="378" t="s">
        <v>774</v>
      </c>
      <c r="C33" s="378"/>
      <c r="D33" s="378">
        <v>1</v>
      </c>
      <c r="E33" s="378"/>
      <c r="F33" s="474">
        <v>67.36</v>
      </c>
      <c r="G33" s="477">
        <v>3.14</v>
      </c>
      <c r="H33" s="474">
        <f t="shared" si="0"/>
        <v>70.5</v>
      </c>
      <c r="I33" s="477">
        <v>2034</v>
      </c>
      <c r="J33" s="477">
        <v>37</v>
      </c>
      <c r="K33" s="477">
        <v>3905</v>
      </c>
      <c r="L33" s="477">
        <v>19</v>
      </c>
      <c r="M33" s="378">
        <f t="shared" si="1"/>
        <v>5939</v>
      </c>
      <c r="N33" s="378">
        <f t="shared" si="1"/>
        <v>56</v>
      </c>
      <c r="O33" s="477">
        <v>258</v>
      </c>
      <c r="P33" s="477">
        <v>180</v>
      </c>
      <c r="Q33" s="477"/>
      <c r="R33" s="378">
        <v>3</v>
      </c>
      <c r="S33" s="477"/>
      <c r="T33" s="378">
        <v>3</v>
      </c>
      <c r="U33" s="477"/>
      <c r="V33" s="477"/>
      <c r="W33" s="477"/>
      <c r="X33" s="378">
        <v>56</v>
      </c>
      <c r="Y33" s="477">
        <v>11</v>
      </c>
      <c r="Z33" s="477">
        <v>50</v>
      </c>
      <c r="AA33" s="477">
        <v>126</v>
      </c>
      <c r="AB33" s="477">
        <v>1</v>
      </c>
      <c r="AC33" s="490">
        <v>760.0482</v>
      </c>
      <c r="AD33" s="411">
        <v>7.9779064122013645</v>
      </c>
    </row>
    <row r="34" spans="1:30" ht="30" customHeight="1">
      <c r="A34" s="378">
        <v>28</v>
      </c>
      <c r="B34" s="378" t="s">
        <v>775</v>
      </c>
      <c r="C34" s="378"/>
      <c r="D34" s="378">
        <v>1</v>
      </c>
      <c r="E34" s="378"/>
      <c r="F34" s="474">
        <v>3.616</v>
      </c>
      <c r="G34" s="378"/>
      <c r="H34" s="474">
        <f t="shared" si="0"/>
        <v>3.616</v>
      </c>
      <c r="I34" s="378">
        <v>160</v>
      </c>
      <c r="J34" s="378">
        <v>1</v>
      </c>
      <c r="K34" s="378">
        <v>1800</v>
      </c>
      <c r="L34" s="378">
        <v>5</v>
      </c>
      <c r="M34" s="378">
        <f t="shared" si="1"/>
        <v>1960</v>
      </c>
      <c r="N34" s="378">
        <f t="shared" si="1"/>
        <v>6</v>
      </c>
      <c r="O34" s="378">
        <v>24</v>
      </c>
      <c r="P34" s="378">
        <v>18</v>
      </c>
      <c r="Q34" s="378"/>
      <c r="R34" s="378">
        <v>1</v>
      </c>
      <c r="S34" s="378"/>
      <c r="T34" s="378">
        <v>1</v>
      </c>
      <c r="U34" s="378"/>
      <c r="V34" s="378"/>
      <c r="W34" s="378"/>
      <c r="X34" s="378">
        <v>6</v>
      </c>
      <c r="Y34" s="378">
        <v>1</v>
      </c>
      <c r="Z34" s="378">
        <v>3</v>
      </c>
      <c r="AA34" s="378">
        <v>18</v>
      </c>
      <c r="AB34" s="378"/>
      <c r="AC34" s="490">
        <v>643.9029999999999</v>
      </c>
      <c r="AD34" s="411">
        <v>3.8528846986588468</v>
      </c>
    </row>
    <row r="35" spans="1:30" ht="30" customHeight="1">
      <c r="A35" s="378">
        <v>29</v>
      </c>
      <c r="B35" s="378" t="s">
        <v>776</v>
      </c>
      <c r="C35" s="378"/>
      <c r="D35" s="378"/>
      <c r="E35" s="378">
        <v>1</v>
      </c>
      <c r="F35" s="378"/>
      <c r="G35" s="378">
        <v>4.96</v>
      </c>
      <c r="H35" s="474">
        <f t="shared" si="0"/>
        <v>4.96</v>
      </c>
      <c r="I35" s="378"/>
      <c r="J35" s="378"/>
      <c r="K35" s="378"/>
      <c r="L35" s="378"/>
      <c r="M35" s="378">
        <f t="shared" si="1"/>
        <v>0</v>
      </c>
      <c r="N35" s="378">
        <f t="shared" si="1"/>
        <v>0</v>
      </c>
      <c r="O35" s="378"/>
      <c r="P35" s="378"/>
      <c r="Q35" s="378"/>
      <c r="R35" s="378"/>
      <c r="S35" s="378"/>
      <c r="T35" s="378"/>
      <c r="U35" s="378"/>
      <c r="V35" s="378"/>
      <c r="W35" s="378"/>
      <c r="X35" s="378">
        <v>0</v>
      </c>
      <c r="Y35" s="378"/>
      <c r="Z35" s="378"/>
      <c r="AA35" s="378"/>
      <c r="AB35" s="378"/>
      <c r="AC35" s="492"/>
      <c r="AD35" s="411"/>
    </row>
    <row r="36" spans="1:30" ht="30" customHeight="1">
      <c r="A36" s="378">
        <v>30</v>
      </c>
      <c r="B36" s="378" t="s">
        <v>777</v>
      </c>
      <c r="C36" s="378"/>
      <c r="D36" s="378">
        <v>1</v>
      </c>
      <c r="E36" s="378"/>
      <c r="F36" s="474">
        <v>9.81</v>
      </c>
      <c r="G36" s="378">
        <v>3.28</v>
      </c>
      <c r="H36" s="474">
        <f t="shared" si="0"/>
        <v>13.09</v>
      </c>
      <c r="I36" s="378">
        <v>1218</v>
      </c>
      <c r="J36" s="378">
        <v>14</v>
      </c>
      <c r="K36" s="378">
        <v>4080</v>
      </c>
      <c r="L36" s="378">
        <v>26</v>
      </c>
      <c r="M36" s="378">
        <f t="shared" si="1"/>
        <v>5298</v>
      </c>
      <c r="N36" s="378">
        <f t="shared" si="1"/>
        <v>40</v>
      </c>
      <c r="O36" s="378">
        <f>47*3</f>
        <v>141</v>
      </c>
      <c r="P36" s="378">
        <f>42*3</f>
        <v>126</v>
      </c>
      <c r="Q36" s="378"/>
      <c r="R36" s="378">
        <v>2</v>
      </c>
      <c r="S36" s="378"/>
      <c r="T36" s="378">
        <v>2</v>
      </c>
      <c r="U36" s="378"/>
      <c r="V36" s="378"/>
      <c r="W36" s="378"/>
      <c r="X36" s="378">
        <v>40</v>
      </c>
      <c r="Y36" s="378">
        <v>24</v>
      </c>
      <c r="Z36" s="378">
        <v>18</v>
      </c>
      <c r="AA36" s="378">
        <v>120</v>
      </c>
      <c r="AB36" s="378"/>
      <c r="AC36" s="490">
        <v>796.9440000000001</v>
      </c>
      <c r="AD36" s="411">
        <v>6.288936331733665</v>
      </c>
    </row>
    <row r="37" spans="1:30" ht="30" customHeight="1">
      <c r="A37" s="378">
        <v>31</v>
      </c>
      <c r="B37" s="378" t="s">
        <v>778</v>
      </c>
      <c r="C37" s="378"/>
      <c r="D37" s="378">
        <v>1</v>
      </c>
      <c r="E37" s="378"/>
      <c r="F37" s="474">
        <v>53.72</v>
      </c>
      <c r="G37" s="378">
        <v>4.5</v>
      </c>
      <c r="H37" s="474">
        <f t="shared" si="0"/>
        <v>58.22</v>
      </c>
      <c r="I37" s="378">
        <v>3220</v>
      </c>
      <c r="J37" s="378">
        <v>38</v>
      </c>
      <c r="K37" s="378">
        <v>5565</v>
      </c>
      <c r="L37" s="378">
        <v>29</v>
      </c>
      <c r="M37" s="378">
        <f t="shared" si="1"/>
        <v>8785</v>
      </c>
      <c r="N37" s="378">
        <f t="shared" si="1"/>
        <v>67</v>
      </c>
      <c r="O37" s="378">
        <f>85*3</f>
        <v>255</v>
      </c>
      <c r="P37" s="378">
        <v>564</v>
      </c>
      <c r="Q37" s="378"/>
      <c r="R37" s="378">
        <v>4</v>
      </c>
      <c r="S37" s="378"/>
      <c r="T37" s="378">
        <v>4</v>
      </c>
      <c r="U37" s="378"/>
      <c r="V37" s="378"/>
      <c r="W37" s="378"/>
      <c r="X37" s="378">
        <v>67</v>
      </c>
      <c r="Y37" s="378">
        <v>8</v>
      </c>
      <c r="Z37" s="378">
        <v>18</v>
      </c>
      <c r="AA37" s="378">
        <v>201</v>
      </c>
      <c r="AB37" s="378"/>
      <c r="AC37" s="490">
        <v>1334.7721999999999</v>
      </c>
      <c r="AD37" s="411">
        <v>6.177491730787922</v>
      </c>
    </row>
    <row r="38" spans="1:30" ht="30" customHeight="1">
      <c r="A38" s="378">
        <v>32</v>
      </c>
      <c r="B38" s="378" t="s">
        <v>779</v>
      </c>
      <c r="C38" s="378"/>
      <c r="D38" s="378">
        <v>1</v>
      </c>
      <c r="E38" s="378"/>
      <c r="F38" s="378"/>
      <c r="G38" s="378">
        <v>27.86</v>
      </c>
      <c r="H38" s="474">
        <f t="shared" si="0"/>
        <v>27.86</v>
      </c>
      <c r="I38" s="378">
        <v>50</v>
      </c>
      <c r="J38" s="378">
        <v>1</v>
      </c>
      <c r="K38" s="378">
        <v>3770</v>
      </c>
      <c r="L38" s="378">
        <v>11</v>
      </c>
      <c r="M38" s="378">
        <f t="shared" si="1"/>
        <v>3820</v>
      </c>
      <c r="N38" s="378">
        <f t="shared" si="1"/>
        <v>12</v>
      </c>
      <c r="O38" s="378">
        <v>36</v>
      </c>
      <c r="P38" s="378">
        <v>39</v>
      </c>
      <c r="Q38" s="378"/>
      <c r="R38" s="378">
        <v>1</v>
      </c>
      <c r="S38" s="378"/>
      <c r="T38" s="378">
        <v>1</v>
      </c>
      <c r="U38" s="378"/>
      <c r="V38" s="378"/>
      <c r="W38" s="378"/>
      <c r="X38" s="378">
        <v>12</v>
      </c>
      <c r="Y38" s="378">
        <v>0</v>
      </c>
      <c r="Z38" s="378">
        <v>1</v>
      </c>
      <c r="AA38" s="378">
        <v>15</v>
      </c>
      <c r="AB38" s="378"/>
      <c r="AC38" s="490">
        <v>104.6079</v>
      </c>
      <c r="AD38" s="411">
        <v>5.253333091804942</v>
      </c>
    </row>
    <row r="39" spans="1:30" ht="30" customHeight="1">
      <c r="A39" s="378">
        <v>33</v>
      </c>
      <c r="B39" s="378" t="s">
        <v>780</v>
      </c>
      <c r="C39" s="378"/>
      <c r="D39" s="378">
        <v>1</v>
      </c>
      <c r="E39" s="378"/>
      <c r="F39" s="474">
        <v>67.96</v>
      </c>
      <c r="G39" s="378">
        <v>0.68</v>
      </c>
      <c r="H39" s="474">
        <f t="shared" si="0"/>
        <v>68.64</v>
      </c>
      <c r="I39" s="378">
        <v>1710</v>
      </c>
      <c r="J39" s="378">
        <v>32</v>
      </c>
      <c r="K39" s="378">
        <v>2658</v>
      </c>
      <c r="L39" s="378">
        <v>13</v>
      </c>
      <c r="M39" s="378">
        <f t="shared" si="1"/>
        <v>4368</v>
      </c>
      <c r="N39" s="378">
        <f t="shared" si="1"/>
        <v>45</v>
      </c>
      <c r="O39" s="378">
        <v>183</v>
      </c>
      <c r="P39" s="378">
        <f>49*3</f>
        <v>147</v>
      </c>
      <c r="Q39" s="378"/>
      <c r="R39" s="378">
        <v>3</v>
      </c>
      <c r="S39" s="378"/>
      <c r="T39" s="378">
        <v>3</v>
      </c>
      <c r="U39" s="378"/>
      <c r="V39" s="378"/>
      <c r="W39" s="378"/>
      <c r="X39" s="378">
        <v>45</v>
      </c>
      <c r="Y39" s="378">
        <v>6</v>
      </c>
      <c r="Z39" s="378">
        <v>1</v>
      </c>
      <c r="AA39" s="378">
        <v>33</v>
      </c>
      <c r="AB39" s="378">
        <v>1</v>
      </c>
      <c r="AC39" s="490">
        <v>511.46349999999995</v>
      </c>
      <c r="AD39" s="411">
        <v>7.740685022439648</v>
      </c>
    </row>
    <row r="40" spans="1:30" ht="30" customHeight="1">
      <c r="A40" s="378">
        <v>34</v>
      </c>
      <c r="B40" s="378" t="s">
        <v>781</v>
      </c>
      <c r="C40" s="378"/>
      <c r="D40" s="378">
        <v>1</v>
      </c>
      <c r="E40" s="378"/>
      <c r="F40" s="474">
        <v>27</v>
      </c>
      <c r="G40" s="378"/>
      <c r="H40" s="474">
        <f t="shared" si="0"/>
        <v>27</v>
      </c>
      <c r="I40" s="378">
        <v>245</v>
      </c>
      <c r="J40" s="378">
        <v>15</v>
      </c>
      <c r="K40" s="378">
        <v>1460</v>
      </c>
      <c r="L40" s="378">
        <v>11</v>
      </c>
      <c r="M40" s="378">
        <f t="shared" si="1"/>
        <v>1705</v>
      </c>
      <c r="N40" s="378">
        <f t="shared" si="1"/>
        <v>26</v>
      </c>
      <c r="O40" s="378">
        <f>29*3</f>
        <v>87</v>
      </c>
      <c r="P40" s="378">
        <f>28*3</f>
        <v>84</v>
      </c>
      <c r="Q40" s="378"/>
      <c r="R40" s="378">
        <v>1</v>
      </c>
      <c r="S40" s="378"/>
      <c r="T40" s="378">
        <v>1</v>
      </c>
      <c r="U40" s="378"/>
      <c r="V40" s="378"/>
      <c r="W40" s="378"/>
      <c r="X40" s="378">
        <v>26</v>
      </c>
      <c r="Y40" s="378">
        <v>10</v>
      </c>
      <c r="Z40" s="378">
        <v>20</v>
      </c>
      <c r="AA40" s="378">
        <v>26</v>
      </c>
      <c r="AB40" s="378">
        <v>2</v>
      </c>
      <c r="AC40" s="490">
        <v>143.1653</v>
      </c>
      <c r="AD40" s="411">
        <v>7.825585887200613</v>
      </c>
    </row>
    <row r="41" spans="1:30" ht="30" customHeight="1">
      <c r="A41" s="378">
        <v>35</v>
      </c>
      <c r="B41" s="378" t="s">
        <v>782</v>
      </c>
      <c r="C41" s="378"/>
      <c r="D41" s="378"/>
      <c r="E41" s="378">
        <v>1</v>
      </c>
      <c r="F41" s="474">
        <v>0.461</v>
      </c>
      <c r="G41" s="378"/>
      <c r="H41" s="474">
        <f t="shared" si="0"/>
        <v>0.461</v>
      </c>
      <c r="I41" s="378"/>
      <c r="J41" s="378"/>
      <c r="K41" s="378"/>
      <c r="L41" s="378"/>
      <c r="M41" s="378">
        <f t="shared" si="1"/>
        <v>0</v>
      </c>
      <c r="N41" s="378">
        <f t="shared" si="1"/>
        <v>0</v>
      </c>
      <c r="O41" s="378"/>
      <c r="P41" s="378"/>
      <c r="Q41" s="378"/>
      <c r="R41" s="378"/>
      <c r="S41" s="378"/>
      <c r="T41" s="378"/>
      <c r="U41" s="378"/>
      <c r="V41" s="378"/>
      <c r="W41" s="378"/>
      <c r="X41" s="378">
        <v>0</v>
      </c>
      <c r="Y41" s="378"/>
      <c r="Z41" s="378"/>
      <c r="AA41" s="378"/>
      <c r="AB41" s="378"/>
      <c r="AC41" s="492"/>
      <c r="AD41" s="411"/>
    </row>
    <row r="42" spans="1:30" ht="30" customHeight="1">
      <c r="A42" s="378">
        <v>36</v>
      </c>
      <c r="B42" s="378" t="s">
        <v>783</v>
      </c>
      <c r="C42" s="378"/>
      <c r="D42" s="378">
        <v>1</v>
      </c>
      <c r="E42" s="378"/>
      <c r="F42" s="474">
        <v>6.28</v>
      </c>
      <c r="G42" s="378"/>
      <c r="H42" s="474">
        <f t="shared" si="0"/>
        <v>6.28</v>
      </c>
      <c r="I42" s="378"/>
      <c r="J42" s="378"/>
      <c r="K42" s="378">
        <v>210</v>
      </c>
      <c r="L42" s="378">
        <v>4</v>
      </c>
      <c r="M42" s="378">
        <f t="shared" si="1"/>
        <v>210</v>
      </c>
      <c r="N42" s="378">
        <f t="shared" si="1"/>
        <v>4</v>
      </c>
      <c r="O42" s="378">
        <v>21</v>
      </c>
      <c r="P42" s="378">
        <v>15</v>
      </c>
      <c r="Q42" s="378"/>
      <c r="R42" s="378"/>
      <c r="S42" s="378"/>
      <c r="T42" s="378"/>
      <c r="U42" s="378"/>
      <c r="V42" s="378"/>
      <c r="W42" s="378"/>
      <c r="X42" s="378">
        <v>4</v>
      </c>
      <c r="Y42" s="378">
        <v>0</v>
      </c>
      <c r="Z42" s="378">
        <v>2</v>
      </c>
      <c r="AA42" s="378">
        <v>12</v>
      </c>
      <c r="AB42" s="378"/>
      <c r="AC42" s="490">
        <v>479.1437</v>
      </c>
      <c r="AD42" s="411">
        <v>7.257004931905646</v>
      </c>
    </row>
    <row r="43" spans="1:30" ht="30" customHeight="1">
      <c r="A43" s="378">
        <v>37</v>
      </c>
      <c r="B43" s="378" t="s">
        <v>784</v>
      </c>
      <c r="C43" s="378"/>
      <c r="D43" s="378">
        <v>1</v>
      </c>
      <c r="E43" s="378"/>
      <c r="F43" s="474">
        <v>31.49</v>
      </c>
      <c r="G43" s="378"/>
      <c r="H43" s="474">
        <f t="shared" si="0"/>
        <v>31.49</v>
      </c>
      <c r="I43" s="378">
        <v>2488</v>
      </c>
      <c r="J43" s="378">
        <v>30</v>
      </c>
      <c r="K43" s="378">
        <v>1080</v>
      </c>
      <c r="L43" s="378">
        <v>7</v>
      </c>
      <c r="M43" s="378">
        <f t="shared" si="1"/>
        <v>3568</v>
      </c>
      <c r="N43" s="378">
        <f t="shared" si="1"/>
        <v>37</v>
      </c>
      <c r="O43" s="378">
        <f>43*3</f>
        <v>129</v>
      </c>
      <c r="P43" s="378">
        <f>45*3</f>
        <v>135</v>
      </c>
      <c r="Q43" s="378"/>
      <c r="R43" s="378">
        <v>3</v>
      </c>
      <c r="S43" s="378"/>
      <c r="T43" s="378">
        <v>3</v>
      </c>
      <c r="U43" s="378"/>
      <c r="V43" s="378"/>
      <c r="W43" s="378"/>
      <c r="X43" s="378">
        <v>37</v>
      </c>
      <c r="Y43" s="378">
        <v>1</v>
      </c>
      <c r="Z43" s="378">
        <v>30</v>
      </c>
      <c r="AA43" s="378">
        <v>47</v>
      </c>
      <c r="AB43" s="378"/>
      <c r="AC43" s="490">
        <v>400.44759999999997</v>
      </c>
      <c r="AD43" s="411">
        <v>8.992904835711268</v>
      </c>
    </row>
    <row r="44" spans="1:30" ht="30" customHeight="1">
      <c r="A44" s="378">
        <v>38</v>
      </c>
      <c r="B44" s="378" t="s">
        <v>785</v>
      </c>
      <c r="C44" s="378"/>
      <c r="D44" s="378">
        <v>1</v>
      </c>
      <c r="E44" s="378"/>
      <c r="F44" s="474">
        <v>3.68</v>
      </c>
      <c r="G44" s="378"/>
      <c r="H44" s="474">
        <f t="shared" si="0"/>
        <v>3.68</v>
      </c>
      <c r="I44" s="378">
        <v>393</v>
      </c>
      <c r="J44" s="378">
        <v>3</v>
      </c>
      <c r="K44" s="378">
        <v>200</v>
      </c>
      <c r="L44" s="378">
        <v>1</v>
      </c>
      <c r="M44" s="378">
        <f t="shared" si="1"/>
        <v>593</v>
      </c>
      <c r="N44" s="378">
        <f t="shared" si="1"/>
        <v>4</v>
      </c>
      <c r="O44" s="378">
        <v>15</v>
      </c>
      <c r="P44" s="378">
        <v>15</v>
      </c>
      <c r="Q44" s="378"/>
      <c r="R44" s="378"/>
      <c r="S44" s="378"/>
      <c r="T44" s="378"/>
      <c r="U44" s="378"/>
      <c r="V44" s="378"/>
      <c r="W44" s="378"/>
      <c r="X44" s="378">
        <v>4</v>
      </c>
      <c r="Y44" s="378">
        <v>1</v>
      </c>
      <c r="Z44" s="378">
        <v>4</v>
      </c>
      <c r="AA44" s="378">
        <v>4</v>
      </c>
      <c r="AB44" s="378"/>
      <c r="AC44" s="490">
        <v>101.0533</v>
      </c>
      <c r="AD44" s="411">
        <v>6.4217320443012245</v>
      </c>
    </row>
    <row r="45" spans="1:30" ht="30" customHeight="1">
      <c r="A45" s="378">
        <v>39</v>
      </c>
      <c r="B45" s="378" t="s">
        <v>786</v>
      </c>
      <c r="C45" s="378"/>
      <c r="D45" s="378">
        <v>1</v>
      </c>
      <c r="E45" s="378"/>
      <c r="F45" s="474">
        <v>1.73</v>
      </c>
      <c r="G45" s="378">
        <v>2.1</v>
      </c>
      <c r="H45" s="474">
        <f t="shared" si="0"/>
        <v>3.83</v>
      </c>
      <c r="I45" s="378">
        <v>160</v>
      </c>
      <c r="J45" s="378">
        <v>1</v>
      </c>
      <c r="K45" s="378">
        <v>3875</v>
      </c>
      <c r="L45" s="378">
        <v>13</v>
      </c>
      <c r="M45" s="378">
        <f t="shared" si="1"/>
        <v>4035</v>
      </c>
      <c r="N45" s="378">
        <f t="shared" si="1"/>
        <v>14</v>
      </c>
      <c r="O45" s="378">
        <v>42</v>
      </c>
      <c r="P45" s="378">
        <v>54</v>
      </c>
      <c r="Q45" s="378"/>
      <c r="R45" s="378"/>
      <c r="S45" s="378"/>
      <c r="T45" s="378"/>
      <c r="U45" s="378"/>
      <c r="V45" s="378"/>
      <c r="W45" s="378"/>
      <c r="X45" s="378">
        <v>14</v>
      </c>
      <c r="Y45" s="378">
        <v>14</v>
      </c>
      <c r="Z45" s="378">
        <v>13</v>
      </c>
      <c r="AA45" s="378">
        <v>42</v>
      </c>
      <c r="AB45" s="378"/>
      <c r="AC45" s="490">
        <v>544.9493</v>
      </c>
      <c r="AD45" s="411">
        <v>0.43023621241576526</v>
      </c>
    </row>
    <row r="46" spans="1:30" ht="30" customHeight="1">
      <c r="A46" s="378">
        <v>40</v>
      </c>
      <c r="B46" s="378" t="s">
        <v>787</v>
      </c>
      <c r="C46" s="378"/>
      <c r="D46" s="378">
        <v>1</v>
      </c>
      <c r="E46" s="378"/>
      <c r="F46" s="474">
        <v>44.78</v>
      </c>
      <c r="G46" s="378">
        <v>1.1</v>
      </c>
      <c r="H46" s="474">
        <f t="shared" si="0"/>
        <v>45.88</v>
      </c>
      <c r="I46" s="378">
        <v>1973</v>
      </c>
      <c r="J46" s="378">
        <v>30</v>
      </c>
      <c r="K46" s="378">
        <v>1005</v>
      </c>
      <c r="L46" s="378">
        <v>8</v>
      </c>
      <c r="M46" s="378">
        <f t="shared" si="1"/>
        <v>2978</v>
      </c>
      <c r="N46" s="378">
        <f t="shared" si="1"/>
        <v>38</v>
      </c>
      <c r="O46" s="378">
        <f>45*3</f>
        <v>135</v>
      </c>
      <c r="P46" s="378">
        <v>120</v>
      </c>
      <c r="Q46" s="378"/>
      <c r="R46" s="378">
        <v>1</v>
      </c>
      <c r="S46" s="378"/>
      <c r="T46" s="378">
        <v>1</v>
      </c>
      <c r="U46" s="378"/>
      <c r="V46" s="378"/>
      <c r="W46" s="378"/>
      <c r="X46" s="378">
        <v>38</v>
      </c>
      <c r="Y46" s="378">
        <v>2</v>
      </c>
      <c r="Z46" s="378">
        <v>20</v>
      </c>
      <c r="AA46" s="378">
        <v>90</v>
      </c>
      <c r="AB46" s="378"/>
      <c r="AC46" s="490">
        <v>144.1912</v>
      </c>
      <c r="AD46" s="411">
        <v>5.809098272843646</v>
      </c>
    </row>
    <row r="47" spans="1:30" ht="30" customHeight="1">
      <c r="A47" s="378">
        <v>41</v>
      </c>
      <c r="B47" s="378" t="s">
        <v>788</v>
      </c>
      <c r="C47" s="378"/>
      <c r="D47" s="378">
        <v>1</v>
      </c>
      <c r="E47" s="378"/>
      <c r="F47" s="474">
        <v>6.5</v>
      </c>
      <c r="G47" s="378"/>
      <c r="H47" s="474">
        <f t="shared" si="0"/>
        <v>6.5</v>
      </c>
      <c r="I47" s="378"/>
      <c r="J47" s="378"/>
      <c r="K47" s="378">
        <v>3370</v>
      </c>
      <c r="L47" s="378">
        <v>8</v>
      </c>
      <c r="M47" s="378">
        <f t="shared" si="1"/>
        <v>3370</v>
      </c>
      <c r="N47" s="378">
        <f t="shared" si="1"/>
        <v>8</v>
      </c>
      <c r="O47" s="378">
        <v>30</v>
      </c>
      <c r="P47" s="378">
        <v>27</v>
      </c>
      <c r="Q47" s="378"/>
      <c r="R47" s="378"/>
      <c r="S47" s="378"/>
      <c r="T47" s="378"/>
      <c r="U47" s="378"/>
      <c r="V47" s="378"/>
      <c r="W47" s="378"/>
      <c r="X47" s="378">
        <v>8</v>
      </c>
      <c r="Y47" s="378">
        <v>9</v>
      </c>
      <c r="Z47" s="378">
        <v>8</v>
      </c>
      <c r="AA47" s="378">
        <v>24</v>
      </c>
      <c r="AB47" s="378"/>
      <c r="AC47" s="490">
        <v>779.616</v>
      </c>
      <c r="AD47" s="411">
        <v>0</v>
      </c>
    </row>
    <row r="48" spans="1:30" ht="30" customHeight="1">
      <c r="A48" s="378">
        <v>42</v>
      </c>
      <c r="B48" s="378" t="s">
        <v>789</v>
      </c>
      <c r="C48" s="378"/>
      <c r="D48" s="378">
        <v>1</v>
      </c>
      <c r="E48" s="378"/>
      <c r="F48" s="474">
        <v>5.69</v>
      </c>
      <c r="G48" s="378">
        <v>0.96</v>
      </c>
      <c r="H48" s="474">
        <f t="shared" si="0"/>
        <v>6.65</v>
      </c>
      <c r="I48" s="378">
        <v>180</v>
      </c>
      <c r="J48" s="378">
        <v>3</v>
      </c>
      <c r="K48" s="378">
        <v>2470</v>
      </c>
      <c r="L48" s="378">
        <v>6</v>
      </c>
      <c r="M48" s="378">
        <f t="shared" si="1"/>
        <v>2650</v>
      </c>
      <c r="N48" s="378">
        <f t="shared" si="1"/>
        <v>9</v>
      </c>
      <c r="O48" s="378">
        <v>36</v>
      </c>
      <c r="P48" s="378">
        <v>27</v>
      </c>
      <c r="Q48" s="378"/>
      <c r="R48" s="378"/>
      <c r="S48" s="378"/>
      <c r="T48" s="378"/>
      <c r="U48" s="378"/>
      <c r="V48" s="378"/>
      <c r="W48" s="378"/>
      <c r="X48" s="378">
        <v>9</v>
      </c>
      <c r="Y48" s="378">
        <v>6</v>
      </c>
      <c r="Z48" s="378">
        <v>8</v>
      </c>
      <c r="AA48" s="378">
        <v>27</v>
      </c>
      <c r="AB48" s="378"/>
      <c r="AC48" s="490">
        <v>285.4624</v>
      </c>
      <c r="AD48" s="411">
        <v>1.9837934349677264</v>
      </c>
    </row>
    <row r="49" spans="1:30" ht="30" customHeight="1">
      <c r="A49" s="378">
        <v>43</v>
      </c>
      <c r="B49" s="378" t="s">
        <v>790</v>
      </c>
      <c r="C49" s="378"/>
      <c r="D49" s="378">
        <v>1</v>
      </c>
      <c r="E49" s="378"/>
      <c r="F49" s="474">
        <v>35.27</v>
      </c>
      <c r="G49" s="378"/>
      <c r="H49" s="474">
        <f t="shared" si="0"/>
        <v>35.27</v>
      </c>
      <c r="I49" s="378">
        <v>635</v>
      </c>
      <c r="J49" s="378">
        <v>13</v>
      </c>
      <c r="K49" s="378"/>
      <c r="L49" s="378"/>
      <c r="M49" s="378">
        <f t="shared" si="1"/>
        <v>635</v>
      </c>
      <c r="N49" s="378">
        <f t="shared" si="1"/>
        <v>13</v>
      </c>
      <c r="O49" s="378">
        <v>51</v>
      </c>
      <c r="P49" s="378">
        <v>54</v>
      </c>
      <c r="Q49" s="378"/>
      <c r="R49" s="378">
        <v>3</v>
      </c>
      <c r="S49" s="378"/>
      <c r="T49" s="378">
        <v>3</v>
      </c>
      <c r="U49" s="378"/>
      <c r="V49" s="378"/>
      <c r="W49" s="378"/>
      <c r="X49" s="378">
        <v>13</v>
      </c>
      <c r="Y49" s="378"/>
      <c r="Z49" s="378">
        <v>13</v>
      </c>
      <c r="AA49" s="378">
        <v>6</v>
      </c>
      <c r="AB49" s="378"/>
      <c r="AC49" s="490">
        <v>58.5516</v>
      </c>
      <c r="AD49" s="411">
        <v>6.830246324231432</v>
      </c>
    </row>
    <row r="50" spans="1:30" ht="30" customHeight="1">
      <c r="A50" s="378"/>
      <c r="B50" s="378"/>
      <c r="C50" s="378"/>
      <c r="D50" s="378"/>
      <c r="E50" s="378"/>
      <c r="F50" s="474"/>
      <c r="G50" s="378"/>
      <c r="H50" s="411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490"/>
      <c r="AD50" s="411"/>
    </row>
    <row r="51" spans="1:30" ht="30" customHeight="1">
      <c r="A51" s="381" t="s">
        <v>209</v>
      </c>
      <c r="B51" s="381"/>
      <c r="C51" s="378">
        <f>SUM(C7:C50)</f>
        <v>2</v>
      </c>
      <c r="D51" s="378">
        <f>SUM(D7:D50)</f>
        <v>38</v>
      </c>
      <c r="E51" s="378">
        <f>SUM(E7:E50)</f>
        <v>3</v>
      </c>
      <c r="F51" s="474">
        <f aca="true" t="shared" si="2" ref="F51:P51">SUM(F7:F49)</f>
        <v>974.073</v>
      </c>
      <c r="G51" s="474">
        <f t="shared" si="2"/>
        <v>83.81299999999999</v>
      </c>
      <c r="H51" s="474">
        <f t="shared" si="2"/>
        <v>1057.8860000000002</v>
      </c>
      <c r="I51" s="378">
        <f t="shared" si="2"/>
        <v>66373</v>
      </c>
      <c r="J51" s="378">
        <f t="shared" si="2"/>
        <v>697</v>
      </c>
      <c r="K51" s="378">
        <f t="shared" si="2"/>
        <v>137404</v>
      </c>
      <c r="L51" s="378">
        <f t="shared" si="2"/>
        <v>538</v>
      </c>
      <c r="M51" s="378">
        <f t="shared" si="2"/>
        <v>203777</v>
      </c>
      <c r="N51" s="378">
        <f t="shared" si="2"/>
        <v>1235</v>
      </c>
      <c r="O51" s="378">
        <f t="shared" si="2"/>
        <v>4671</v>
      </c>
      <c r="P51" s="378">
        <f t="shared" si="2"/>
        <v>4506</v>
      </c>
      <c r="Q51" s="378"/>
      <c r="R51" s="378">
        <f aca="true" t="shared" si="3" ref="R51:V51">SUM(R7:R49)</f>
        <v>91</v>
      </c>
      <c r="S51" s="378"/>
      <c r="T51" s="378">
        <f t="shared" si="3"/>
        <v>91</v>
      </c>
      <c r="U51" s="378">
        <f t="shared" si="3"/>
        <v>6000</v>
      </c>
      <c r="V51" s="378">
        <f t="shared" si="3"/>
        <v>1</v>
      </c>
      <c r="W51" s="378"/>
      <c r="X51" s="378">
        <f aca="true" t="shared" si="4" ref="X51:AC51">SUM(X7:X49)</f>
        <v>1235</v>
      </c>
      <c r="Y51" s="378">
        <f t="shared" si="4"/>
        <v>376</v>
      </c>
      <c r="Z51" s="378">
        <f t="shared" si="4"/>
        <v>858</v>
      </c>
      <c r="AA51" s="378">
        <f t="shared" si="4"/>
        <v>2942</v>
      </c>
      <c r="AB51" s="378">
        <f t="shared" si="4"/>
        <v>10</v>
      </c>
      <c r="AC51" s="378">
        <f t="shared" si="4"/>
        <v>24578.404399999996</v>
      </c>
      <c r="AD51" s="378">
        <v>5.97</v>
      </c>
    </row>
    <row r="52" spans="1:30" ht="15">
      <c r="A52" s="478" t="s">
        <v>791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79"/>
      <c r="Y52" s="479"/>
      <c r="Z52" s="479"/>
      <c r="AA52" s="479"/>
      <c r="AB52" s="479"/>
      <c r="AC52" s="479"/>
      <c r="AD52" s="493"/>
    </row>
    <row r="53" spans="1:30" ht="15">
      <c r="A53" s="447"/>
      <c r="B53" s="447" t="s">
        <v>176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83" t="s">
        <v>177</v>
      </c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 t="s">
        <v>792</v>
      </c>
      <c r="AC53" s="447"/>
      <c r="AD53" s="447"/>
    </row>
  </sheetData>
  <sheetProtection/>
  <mergeCells count="21">
    <mergeCell ref="A1:AD1"/>
    <mergeCell ref="C3:E3"/>
    <mergeCell ref="F3:H3"/>
    <mergeCell ref="I3:N3"/>
    <mergeCell ref="Q3:T3"/>
    <mergeCell ref="U3:V3"/>
    <mergeCell ref="W3:Y3"/>
    <mergeCell ref="AA3:AB3"/>
    <mergeCell ref="A52:AD52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42"/>
  <sheetViews>
    <sheetView workbookViewId="0" topLeftCell="A1">
      <selection activeCell="A1" sqref="A1:AE1"/>
    </sheetView>
  </sheetViews>
  <sheetFormatPr defaultColWidth="9.00390625" defaultRowHeight="14.25"/>
  <cols>
    <col min="1" max="16384" width="9.00390625" style="294" customWidth="1"/>
  </cols>
  <sheetData>
    <row r="1" spans="1:30" ht="21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28" ht="15">
      <c r="A2" s="294" t="s">
        <v>98</v>
      </c>
      <c r="R2" s="447"/>
      <c r="U2" s="448" t="s">
        <v>793</v>
      </c>
      <c r="V2" s="448"/>
      <c r="W2" s="448"/>
      <c r="X2" s="448"/>
      <c r="Y2" s="448"/>
      <c r="Z2" s="448"/>
      <c r="AB2" s="294" t="s">
        <v>101</v>
      </c>
    </row>
    <row r="3" spans="1:30" ht="15">
      <c r="A3" s="333" t="s">
        <v>102</v>
      </c>
      <c r="B3" s="334" t="s">
        <v>103</v>
      </c>
      <c r="C3" s="334" t="s">
        <v>104</v>
      </c>
      <c r="D3" s="334"/>
      <c r="E3" s="334"/>
      <c r="F3" s="335" t="s">
        <v>105</v>
      </c>
      <c r="G3" s="336"/>
      <c r="H3" s="336"/>
      <c r="I3" s="336" t="s">
        <v>106</v>
      </c>
      <c r="J3" s="336"/>
      <c r="K3" s="336"/>
      <c r="L3" s="336"/>
      <c r="M3" s="336"/>
      <c r="N3" s="336"/>
      <c r="O3" s="333" t="s">
        <v>107</v>
      </c>
      <c r="P3" s="333" t="s">
        <v>108</v>
      </c>
      <c r="Q3" s="341" t="s">
        <v>109</v>
      </c>
      <c r="R3" s="349"/>
      <c r="S3" s="349"/>
      <c r="T3" s="335"/>
      <c r="U3" s="336" t="s">
        <v>110</v>
      </c>
      <c r="V3" s="336"/>
      <c r="W3" s="341" t="s">
        <v>111</v>
      </c>
      <c r="X3" s="349"/>
      <c r="Y3" s="335"/>
      <c r="Z3" s="333" t="s">
        <v>112</v>
      </c>
      <c r="AA3" s="336" t="s">
        <v>113</v>
      </c>
      <c r="AB3" s="336"/>
      <c r="AC3" s="333" t="s">
        <v>114</v>
      </c>
      <c r="AD3" s="333" t="s">
        <v>115</v>
      </c>
    </row>
    <row r="4" spans="1:30" ht="15">
      <c r="A4" s="337"/>
      <c r="B4" s="334"/>
      <c r="C4" s="334" t="s">
        <v>116</v>
      </c>
      <c r="D4" s="334" t="s">
        <v>117</v>
      </c>
      <c r="E4" s="334" t="s">
        <v>118</v>
      </c>
      <c r="F4" s="303" t="s">
        <v>119</v>
      </c>
      <c r="G4" s="304"/>
      <c r="H4" s="304"/>
      <c r="I4" s="336" t="s">
        <v>120</v>
      </c>
      <c r="J4" s="336"/>
      <c r="K4" s="336" t="s">
        <v>121</v>
      </c>
      <c r="L4" s="336"/>
      <c r="M4" s="336" t="s">
        <v>122</v>
      </c>
      <c r="N4" s="336"/>
      <c r="O4" s="337"/>
      <c r="P4" s="347" t="s">
        <v>123</v>
      </c>
      <c r="Q4" s="333"/>
      <c r="R4" s="449"/>
      <c r="S4" s="333"/>
      <c r="T4" s="333"/>
      <c r="U4" s="336" t="s">
        <v>124</v>
      </c>
      <c r="V4" s="336"/>
      <c r="W4" s="333" t="s">
        <v>125</v>
      </c>
      <c r="X4" s="333" t="s">
        <v>126</v>
      </c>
      <c r="Y4" s="333" t="s">
        <v>126</v>
      </c>
      <c r="Z4" s="337" t="s">
        <v>127</v>
      </c>
      <c r="AA4" s="336" t="s">
        <v>128</v>
      </c>
      <c r="AB4" s="336"/>
      <c r="AC4" s="338" t="s">
        <v>129</v>
      </c>
      <c r="AD4" s="338" t="s">
        <v>130</v>
      </c>
    </row>
    <row r="5" spans="1:30" ht="15">
      <c r="A5" s="337"/>
      <c r="B5" s="334"/>
      <c r="C5" s="334"/>
      <c r="D5" s="334"/>
      <c r="E5" s="334"/>
      <c r="F5" s="303"/>
      <c r="G5" s="304"/>
      <c r="H5" s="304"/>
      <c r="I5" s="336"/>
      <c r="J5" s="336"/>
      <c r="K5" s="336"/>
      <c r="L5" s="336"/>
      <c r="M5" s="336"/>
      <c r="N5" s="336"/>
      <c r="O5" s="338" t="s">
        <v>131</v>
      </c>
      <c r="P5" s="348" t="s">
        <v>132</v>
      </c>
      <c r="Q5" s="337"/>
      <c r="R5" s="450" t="s">
        <v>133</v>
      </c>
      <c r="S5" s="337"/>
      <c r="T5" s="337"/>
      <c r="U5" s="336"/>
      <c r="V5" s="336"/>
      <c r="W5" s="337"/>
      <c r="X5" s="337"/>
      <c r="Y5" s="337"/>
      <c r="Z5" s="338" t="s">
        <v>134</v>
      </c>
      <c r="AA5" s="336"/>
      <c r="AB5" s="336"/>
      <c r="AC5" s="333" t="s">
        <v>135</v>
      </c>
      <c r="AD5" s="329" t="s">
        <v>136</v>
      </c>
    </row>
    <row r="6" spans="1:30" ht="15">
      <c r="A6" s="338" t="s">
        <v>137</v>
      </c>
      <c r="B6" s="334"/>
      <c r="C6" s="334"/>
      <c r="D6" s="334"/>
      <c r="E6" s="334"/>
      <c r="F6" s="335" t="s">
        <v>120</v>
      </c>
      <c r="G6" s="336" t="s">
        <v>121</v>
      </c>
      <c r="H6" s="336" t="s">
        <v>122</v>
      </c>
      <c r="I6" s="336" t="s">
        <v>138</v>
      </c>
      <c r="J6" s="336" t="s">
        <v>139</v>
      </c>
      <c r="K6" s="336" t="s">
        <v>138</v>
      </c>
      <c r="L6" s="336" t="s">
        <v>139</v>
      </c>
      <c r="M6" s="336" t="s">
        <v>138</v>
      </c>
      <c r="N6" s="336" t="s">
        <v>139</v>
      </c>
      <c r="O6" s="336" t="s">
        <v>128</v>
      </c>
      <c r="P6" s="336" t="s">
        <v>128</v>
      </c>
      <c r="Q6" s="326" t="s">
        <v>140</v>
      </c>
      <c r="R6" s="451" t="s">
        <v>141</v>
      </c>
      <c r="S6" s="338" t="s">
        <v>142</v>
      </c>
      <c r="T6" s="338" t="s">
        <v>122</v>
      </c>
      <c r="U6" s="336" t="s">
        <v>138</v>
      </c>
      <c r="V6" s="336" t="s">
        <v>139</v>
      </c>
      <c r="W6" s="338"/>
      <c r="X6" s="338" t="s">
        <v>143</v>
      </c>
      <c r="Y6" s="338" t="s">
        <v>144</v>
      </c>
      <c r="Z6" s="336" t="s">
        <v>145</v>
      </c>
      <c r="AA6" s="304" t="s">
        <v>146</v>
      </c>
      <c r="AB6" s="304" t="s">
        <v>147</v>
      </c>
      <c r="AC6" s="338" t="s">
        <v>148</v>
      </c>
      <c r="AD6" s="326"/>
    </row>
    <row r="7" spans="1:30" ht="24.75" customHeight="1">
      <c r="A7" s="415">
        <v>1</v>
      </c>
      <c r="B7" s="415" t="s">
        <v>794</v>
      </c>
      <c r="C7" s="415" t="s">
        <v>150</v>
      </c>
      <c r="D7" s="415"/>
      <c r="E7" s="415"/>
      <c r="F7" s="416">
        <v>10.044</v>
      </c>
      <c r="G7" s="416">
        <v>2.74</v>
      </c>
      <c r="H7" s="417">
        <f aca="true" t="shared" si="0" ref="H7:H37">F7+G7</f>
        <v>12.784</v>
      </c>
      <c r="I7" s="415">
        <v>5115</v>
      </c>
      <c r="J7" s="415">
        <v>24</v>
      </c>
      <c r="K7" s="415">
        <v>9235</v>
      </c>
      <c r="L7" s="415">
        <v>32</v>
      </c>
      <c r="M7" s="415">
        <f>I7+K7</f>
        <v>14350</v>
      </c>
      <c r="N7" s="415">
        <f>J7+L7</f>
        <v>56</v>
      </c>
      <c r="O7" s="415">
        <v>189</v>
      </c>
      <c r="P7" s="415">
        <f>N7*3+T7*6</f>
        <v>192</v>
      </c>
      <c r="Q7" s="415"/>
      <c r="R7" s="426">
        <v>4</v>
      </c>
      <c r="S7" s="415"/>
      <c r="T7" s="415">
        <f>SUM(Q7:S7)</f>
        <v>4</v>
      </c>
      <c r="U7" s="415"/>
      <c r="V7" s="415"/>
      <c r="W7" s="415">
        <v>1658</v>
      </c>
      <c r="X7" s="415">
        <v>203</v>
      </c>
      <c r="Y7" s="415">
        <v>9</v>
      </c>
      <c r="Z7" s="415"/>
      <c r="AA7" s="415">
        <v>192</v>
      </c>
      <c r="AB7" s="415">
        <v>24</v>
      </c>
      <c r="AC7" s="336">
        <v>1326.8919</v>
      </c>
      <c r="AD7" s="455">
        <v>6.28</v>
      </c>
    </row>
    <row r="8" spans="1:30" ht="24.75" customHeight="1">
      <c r="A8" s="418">
        <v>2</v>
      </c>
      <c r="B8" s="418" t="s">
        <v>795</v>
      </c>
      <c r="C8" s="418" t="s">
        <v>150</v>
      </c>
      <c r="D8" s="418"/>
      <c r="E8" s="418"/>
      <c r="F8" s="419">
        <v>8.092</v>
      </c>
      <c r="G8" s="419">
        <v>1.94</v>
      </c>
      <c r="H8" s="417">
        <f t="shared" si="0"/>
        <v>10.032</v>
      </c>
      <c r="I8" s="418">
        <v>5190</v>
      </c>
      <c r="J8" s="418">
        <v>23</v>
      </c>
      <c r="K8" s="418">
        <v>6150</v>
      </c>
      <c r="L8" s="418">
        <v>22</v>
      </c>
      <c r="M8" s="415">
        <f aca="true" t="shared" si="1" ref="M8:N37">I8+K8</f>
        <v>11340</v>
      </c>
      <c r="N8" s="415">
        <f t="shared" si="1"/>
        <v>45</v>
      </c>
      <c r="O8" s="418">
        <v>156</v>
      </c>
      <c r="P8" s="415">
        <f aca="true" t="shared" si="2" ref="P8:P38">N8*3+T8*6</f>
        <v>153</v>
      </c>
      <c r="Q8" s="418"/>
      <c r="R8" s="427">
        <v>2</v>
      </c>
      <c r="S8" s="418">
        <v>1</v>
      </c>
      <c r="T8" s="415">
        <f aca="true" t="shared" si="3" ref="T8:T37">SUM(Q8:S8)</f>
        <v>3</v>
      </c>
      <c r="U8" s="418"/>
      <c r="V8" s="418"/>
      <c r="W8" s="418">
        <v>1993</v>
      </c>
      <c r="X8" s="418">
        <v>185</v>
      </c>
      <c r="Y8" s="418">
        <v>6</v>
      </c>
      <c r="Z8" s="418"/>
      <c r="AA8" s="418">
        <v>165</v>
      </c>
      <c r="AB8" s="418">
        <v>6</v>
      </c>
      <c r="AC8" s="336">
        <v>1522.3315</v>
      </c>
      <c r="AD8" s="454">
        <v>6.57</v>
      </c>
    </row>
    <row r="9" spans="1:30" ht="24.75" customHeight="1">
      <c r="A9" s="415">
        <v>3</v>
      </c>
      <c r="B9" s="418" t="s">
        <v>796</v>
      </c>
      <c r="C9" s="418" t="s">
        <v>150</v>
      </c>
      <c r="D9" s="418"/>
      <c r="E9" s="418"/>
      <c r="F9" s="419">
        <v>10.257</v>
      </c>
      <c r="G9" s="419">
        <v>1.75</v>
      </c>
      <c r="H9" s="417">
        <f t="shared" si="0"/>
        <v>12.007</v>
      </c>
      <c r="I9" s="418">
        <v>3140</v>
      </c>
      <c r="J9" s="418">
        <v>20</v>
      </c>
      <c r="K9" s="418">
        <v>3648</v>
      </c>
      <c r="L9" s="418">
        <v>23</v>
      </c>
      <c r="M9" s="415">
        <f t="shared" si="1"/>
        <v>6788</v>
      </c>
      <c r="N9" s="415">
        <f t="shared" si="1"/>
        <v>43</v>
      </c>
      <c r="O9" s="418">
        <v>153</v>
      </c>
      <c r="P9" s="415">
        <f t="shared" si="2"/>
        <v>147</v>
      </c>
      <c r="Q9" s="418"/>
      <c r="R9" s="427">
        <v>3</v>
      </c>
      <c r="S9" s="418"/>
      <c r="T9" s="415">
        <f t="shared" si="3"/>
        <v>3</v>
      </c>
      <c r="U9" s="418"/>
      <c r="V9" s="418"/>
      <c r="W9" s="418">
        <v>1833</v>
      </c>
      <c r="X9" s="418">
        <v>102</v>
      </c>
      <c r="Y9" s="418">
        <v>8</v>
      </c>
      <c r="Z9" s="418"/>
      <c r="AA9" s="418">
        <v>144</v>
      </c>
      <c r="AB9" s="418">
        <v>6</v>
      </c>
      <c r="AC9" s="336">
        <v>917.1055</v>
      </c>
      <c r="AD9" s="454">
        <v>7.61</v>
      </c>
    </row>
    <row r="10" spans="1:30" ht="24.75" customHeight="1">
      <c r="A10" s="418">
        <v>4</v>
      </c>
      <c r="B10" s="418" t="s">
        <v>797</v>
      </c>
      <c r="C10" s="418"/>
      <c r="D10" s="418" t="s">
        <v>150</v>
      </c>
      <c r="E10" s="418"/>
      <c r="F10" s="419">
        <v>41.6</v>
      </c>
      <c r="G10" s="419">
        <v>3.1</v>
      </c>
      <c r="H10" s="417">
        <f t="shared" si="0"/>
        <v>44.7</v>
      </c>
      <c r="I10" s="418">
        <v>1205</v>
      </c>
      <c r="J10" s="418">
        <v>26</v>
      </c>
      <c r="K10" s="418">
        <v>3058</v>
      </c>
      <c r="L10" s="418">
        <v>15</v>
      </c>
      <c r="M10" s="415">
        <f t="shared" si="1"/>
        <v>4263</v>
      </c>
      <c r="N10" s="415">
        <f t="shared" si="1"/>
        <v>41</v>
      </c>
      <c r="O10" s="418">
        <v>144</v>
      </c>
      <c r="P10" s="415">
        <f t="shared" si="2"/>
        <v>141</v>
      </c>
      <c r="Q10" s="418"/>
      <c r="R10" s="427">
        <v>2</v>
      </c>
      <c r="S10" s="418">
        <v>1</v>
      </c>
      <c r="T10" s="415">
        <f t="shared" si="3"/>
        <v>3</v>
      </c>
      <c r="U10" s="418"/>
      <c r="V10" s="418"/>
      <c r="W10" s="418">
        <v>1315</v>
      </c>
      <c r="X10" s="418">
        <v>88</v>
      </c>
      <c r="Y10" s="418">
        <v>12</v>
      </c>
      <c r="Z10" s="418"/>
      <c r="AA10" s="418">
        <v>102</v>
      </c>
      <c r="AB10" s="418">
        <v>3</v>
      </c>
      <c r="AC10" s="336">
        <v>255.2199</v>
      </c>
      <c r="AD10" s="454">
        <v>8.3</v>
      </c>
    </row>
    <row r="11" spans="1:30" ht="24.75" customHeight="1">
      <c r="A11" s="415">
        <v>5</v>
      </c>
      <c r="B11" s="415" t="s">
        <v>798</v>
      </c>
      <c r="C11" s="340"/>
      <c r="D11" s="415" t="s">
        <v>150</v>
      </c>
      <c r="E11" s="415"/>
      <c r="F11" s="417">
        <v>17.871</v>
      </c>
      <c r="G11" s="416">
        <v>8.842</v>
      </c>
      <c r="H11" s="417">
        <f t="shared" si="0"/>
        <v>26.713</v>
      </c>
      <c r="I11" s="415">
        <v>490</v>
      </c>
      <c r="J11" s="415">
        <v>10</v>
      </c>
      <c r="K11" s="415">
        <v>503</v>
      </c>
      <c r="L11" s="415">
        <v>9</v>
      </c>
      <c r="M11" s="415">
        <f t="shared" si="1"/>
        <v>993</v>
      </c>
      <c r="N11" s="415">
        <f t="shared" si="1"/>
        <v>19</v>
      </c>
      <c r="O11" s="415">
        <v>69</v>
      </c>
      <c r="P11" s="415">
        <f t="shared" si="2"/>
        <v>69</v>
      </c>
      <c r="Q11" s="415"/>
      <c r="R11" s="426">
        <v>2</v>
      </c>
      <c r="S11" s="415"/>
      <c r="T11" s="415">
        <f t="shared" si="3"/>
        <v>2</v>
      </c>
      <c r="U11" s="415"/>
      <c r="V11" s="415"/>
      <c r="W11" s="415">
        <v>707</v>
      </c>
      <c r="X11" s="415">
        <v>21</v>
      </c>
      <c r="Y11" s="415">
        <v>2</v>
      </c>
      <c r="Z11" s="415"/>
      <c r="AA11" s="415">
        <v>13</v>
      </c>
      <c r="AB11" s="415">
        <v>1</v>
      </c>
      <c r="AC11" s="336">
        <v>76.4539</v>
      </c>
      <c r="AD11" s="454">
        <v>7.39</v>
      </c>
    </row>
    <row r="12" spans="1:30" ht="24.75" customHeight="1">
      <c r="A12" s="418">
        <v>6</v>
      </c>
      <c r="B12" s="418" t="s">
        <v>799</v>
      </c>
      <c r="C12" s="340"/>
      <c r="D12" s="415" t="s">
        <v>150</v>
      </c>
      <c r="E12" s="418"/>
      <c r="F12" s="419">
        <v>105.173</v>
      </c>
      <c r="G12" s="419">
        <v>1.984</v>
      </c>
      <c r="H12" s="417">
        <v>107.15699999999998</v>
      </c>
      <c r="I12" s="418">
        <v>2888</v>
      </c>
      <c r="J12" s="418">
        <v>73</v>
      </c>
      <c r="K12" s="418">
        <v>5008</v>
      </c>
      <c r="L12" s="418">
        <v>21</v>
      </c>
      <c r="M12" s="415">
        <v>7976</v>
      </c>
      <c r="N12" s="415">
        <v>94</v>
      </c>
      <c r="O12" s="418">
        <v>336</v>
      </c>
      <c r="P12" s="415">
        <f t="shared" si="2"/>
        <v>330</v>
      </c>
      <c r="Q12" s="418"/>
      <c r="R12" s="427">
        <v>8</v>
      </c>
      <c r="S12" s="418">
        <v>0</v>
      </c>
      <c r="T12" s="415">
        <f t="shared" si="3"/>
        <v>8</v>
      </c>
      <c r="U12" s="418"/>
      <c r="V12" s="418"/>
      <c r="W12" s="418">
        <v>2572</v>
      </c>
      <c r="X12" s="418">
        <v>97</v>
      </c>
      <c r="Y12" s="418">
        <v>9</v>
      </c>
      <c r="Z12" s="418"/>
      <c r="AA12" s="418">
        <v>88</v>
      </c>
      <c r="AB12" s="418">
        <v>4</v>
      </c>
      <c r="AC12" s="336">
        <v>504.8481</v>
      </c>
      <c r="AD12" s="454">
        <v>7.47</v>
      </c>
    </row>
    <row r="13" spans="1:30" ht="24.75" customHeight="1">
      <c r="A13" s="415">
        <v>7</v>
      </c>
      <c r="B13" s="418" t="s">
        <v>800</v>
      </c>
      <c r="C13" s="340"/>
      <c r="D13" s="415" t="s">
        <v>150</v>
      </c>
      <c r="E13" s="418"/>
      <c r="F13" s="420">
        <v>27.124</v>
      </c>
      <c r="G13" s="419">
        <v>0.35</v>
      </c>
      <c r="H13" s="417">
        <f t="shared" si="0"/>
        <v>27.474</v>
      </c>
      <c r="I13" s="418">
        <v>860</v>
      </c>
      <c r="J13" s="418">
        <v>11</v>
      </c>
      <c r="K13" s="418">
        <v>6960</v>
      </c>
      <c r="L13" s="418">
        <v>17</v>
      </c>
      <c r="M13" s="415">
        <f t="shared" si="1"/>
        <v>7820</v>
      </c>
      <c r="N13" s="415">
        <f t="shared" si="1"/>
        <v>28</v>
      </c>
      <c r="O13" s="418">
        <v>96</v>
      </c>
      <c r="P13" s="415">
        <f t="shared" si="2"/>
        <v>114</v>
      </c>
      <c r="Q13" s="418"/>
      <c r="R13" s="427">
        <v>5</v>
      </c>
      <c r="S13" s="418"/>
      <c r="T13" s="415">
        <f t="shared" si="3"/>
        <v>5</v>
      </c>
      <c r="U13" s="418"/>
      <c r="V13" s="418"/>
      <c r="W13" s="418">
        <v>1107</v>
      </c>
      <c r="X13" s="418">
        <v>33</v>
      </c>
      <c r="Y13" s="418">
        <v>10</v>
      </c>
      <c r="Z13" s="418"/>
      <c r="AA13" s="418">
        <v>72</v>
      </c>
      <c r="AB13" s="418">
        <v>3</v>
      </c>
      <c r="AC13" s="336">
        <v>753.0854</v>
      </c>
      <c r="AD13" s="454">
        <v>6.15</v>
      </c>
    </row>
    <row r="14" spans="1:30" ht="24.75" customHeight="1">
      <c r="A14" s="418">
        <v>8</v>
      </c>
      <c r="B14" s="418" t="s">
        <v>801</v>
      </c>
      <c r="C14" s="418"/>
      <c r="D14" s="418"/>
      <c r="E14" s="415" t="s">
        <v>150</v>
      </c>
      <c r="F14" s="421"/>
      <c r="G14" s="422">
        <v>6.1</v>
      </c>
      <c r="H14" s="423">
        <f t="shared" si="0"/>
        <v>6.1</v>
      </c>
      <c r="I14" s="418"/>
      <c r="J14" s="418"/>
      <c r="K14" s="418">
        <v>1575</v>
      </c>
      <c r="L14" s="418">
        <v>5</v>
      </c>
      <c r="M14" s="415">
        <f t="shared" si="1"/>
        <v>1575</v>
      </c>
      <c r="N14" s="415">
        <f t="shared" si="1"/>
        <v>5</v>
      </c>
      <c r="O14" s="418"/>
      <c r="P14" s="415">
        <f t="shared" si="2"/>
        <v>15</v>
      </c>
      <c r="Q14" s="418"/>
      <c r="R14" s="427"/>
      <c r="S14" s="418"/>
      <c r="T14" s="415">
        <f t="shared" si="3"/>
        <v>0</v>
      </c>
      <c r="U14" s="418"/>
      <c r="V14" s="418"/>
      <c r="W14" s="418"/>
      <c r="X14" s="418">
        <v>1</v>
      </c>
      <c r="Y14" s="418">
        <v>1</v>
      </c>
      <c r="Z14" s="418"/>
      <c r="AA14" s="418">
        <v>1</v>
      </c>
      <c r="AB14" s="418">
        <v>1</v>
      </c>
      <c r="AC14" s="336">
        <v>117.212</v>
      </c>
      <c r="AD14" s="454">
        <v>0</v>
      </c>
    </row>
    <row r="15" spans="1:30" ht="24.75" customHeight="1">
      <c r="A15" s="415">
        <v>9</v>
      </c>
      <c r="B15" s="418" t="s">
        <v>802</v>
      </c>
      <c r="C15" s="418"/>
      <c r="D15" s="418"/>
      <c r="E15" s="415" t="s">
        <v>150</v>
      </c>
      <c r="F15" s="421"/>
      <c r="G15" s="422">
        <v>6.1</v>
      </c>
      <c r="H15" s="423">
        <f t="shared" si="0"/>
        <v>6.1</v>
      </c>
      <c r="I15" s="418"/>
      <c r="J15" s="418"/>
      <c r="K15" s="418">
        <v>1260</v>
      </c>
      <c r="L15" s="418">
        <v>4</v>
      </c>
      <c r="M15" s="415">
        <f t="shared" si="1"/>
        <v>1260</v>
      </c>
      <c r="N15" s="415">
        <f t="shared" si="1"/>
        <v>4</v>
      </c>
      <c r="O15" s="418"/>
      <c r="P15" s="415">
        <f t="shared" si="2"/>
        <v>12</v>
      </c>
      <c r="Q15" s="418"/>
      <c r="R15" s="427"/>
      <c r="S15" s="418"/>
      <c r="T15" s="415">
        <f t="shared" si="3"/>
        <v>0</v>
      </c>
      <c r="U15" s="418"/>
      <c r="V15" s="418"/>
      <c r="W15" s="418"/>
      <c r="X15" s="418">
        <v>1</v>
      </c>
      <c r="Y15" s="418">
        <v>1</v>
      </c>
      <c r="Z15" s="418"/>
      <c r="AA15" s="418">
        <v>1</v>
      </c>
      <c r="AB15" s="418">
        <v>1</v>
      </c>
      <c r="AC15" s="336">
        <v>135.072</v>
      </c>
      <c r="AD15" s="454">
        <v>0</v>
      </c>
    </row>
    <row r="16" spans="1:30" ht="24.75" customHeight="1">
      <c r="A16" s="418">
        <v>10</v>
      </c>
      <c r="B16" s="418" t="s">
        <v>803</v>
      </c>
      <c r="C16" s="418"/>
      <c r="D16" s="418"/>
      <c r="E16" s="415" t="s">
        <v>150</v>
      </c>
      <c r="F16" s="421"/>
      <c r="G16" s="422">
        <v>6.75</v>
      </c>
      <c r="H16" s="423">
        <f t="shared" si="0"/>
        <v>6.75</v>
      </c>
      <c r="I16" s="418"/>
      <c r="J16" s="418"/>
      <c r="K16" s="418">
        <v>1260</v>
      </c>
      <c r="L16" s="418">
        <v>4</v>
      </c>
      <c r="M16" s="415">
        <f t="shared" si="1"/>
        <v>1260</v>
      </c>
      <c r="N16" s="415">
        <f t="shared" si="1"/>
        <v>4</v>
      </c>
      <c r="O16" s="418"/>
      <c r="P16" s="415">
        <f t="shared" si="2"/>
        <v>12</v>
      </c>
      <c r="Q16" s="418"/>
      <c r="R16" s="427"/>
      <c r="S16" s="418"/>
      <c r="T16" s="415">
        <f t="shared" si="3"/>
        <v>0</v>
      </c>
      <c r="U16" s="418"/>
      <c r="V16" s="418"/>
      <c r="W16" s="418"/>
      <c r="X16" s="418">
        <v>1</v>
      </c>
      <c r="Y16" s="418">
        <v>1</v>
      </c>
      <c r="Z16" s="418"/>
      <c r="AA16" s="418">
        <v>1</v>
      </c>
      <c r="AB16" s="418">
        <v>1</v>
      </c>
      <c r="AC16" s="336">
        <v>41.548</v>
      </c>
      <c r="AD16" s="454">
        <v>0</v>
      </c>
    </row>
    <row r="17" spans="1:30" ht="24.75" customHeight="1">
      <c r="A17" s="415">
        <v>11</v>
      </c>
      <c r="B17" s="418" t="s">
        <v>804</v>
      </c>
      <c r="C17" s="340"/>
      <c r="D17" s="424" t="s">
        <v>150</v>
      </c>
      <c r="E17" s="418"/>
      <c r="F17" s="419">
        <v>11.15</v>
      </c>
      <c r="G17" s="419">
        <v>6.5</v>
      </c>
      <c r="H17" s="417">
        <f t="shared" si="0"/>
        <v>17.65</v>
      </c>
      <c r="I17" s="418">
        <v>630</v>
      </c>
      <c r="J17" s="418">
        <v>11</v>
      </c>
      <c r="K17" s="418">
        <v>5685</v>
      </c>
      <c r="L17" s="418">
        <v>14</v>
      </c>
      <c r="M17" s="415">
        <f t="shared" si="1"/>
        <v>6315</v>
      </c>
      <c r="N17" s="415">
        <f t="shared" si="1"/>
        <v>25</v>
      </c>
      <c r="O17" s="418">
        <v>87</v>
      </c>
      <c r="P17" s="415">
        <f t="shared" si="2"/>
        <v>81</v>
      </c>
      <c r="Q17" s="418"/>
      <c r="R17" s="427">
        <v>1</v>
      </c>
      <c r="S17" s="418"/>
      <c r="T17" s="415">
        <f t="shared" si="3"/>
        <v>1</v>
      </c>
      <c r="U17" s="418"/>
      <c r="V17" s="418"/>
      <c r="W17" s="418">
        <v>928</v>
      </c>
      <c r="X17" s="418">
        <v>25</v>
      </c>
      <c r="Y17" s="418">
        <v>2</v>
      </c>
      <c r="Z17" s="418"/>
      <c r="AA17" s="418">
        <v>24</v>
      </c>
      <c r="AB17" s="418">
        <v>1</v>
      </c>
      <c r="AC17" s="336">
        <v>277.9217</v>
      </c>
      <c r="AD17" s="454">
        <v>7.49</v>
      </c>
    </row>
    <row r="18" spans="1:30" ht="24.75" customHeight="1">
      <c r="A18" s="418">
        <v>12</v>
      </c>
      <c r="B18" s="415" t="s">
        <v>805</v>
      </c>
      <c r="C18" s="340"/>
      <c r="D18" s="424" t="s">
        <v>150</v>
      </c>
      <c r="E18" s="418"/>
      <c r="F18" s="425">
        <v>221.502</v>
      </c>
      <c r="G18" s="425">
        <v>6.1</v>
      </c>
      <c r="H18" s="417">
        <v>227.602</v>
      </c>
      <c r="I18" s="418">
        <v>6804</v>
      </c>
      <c r="J18" s="418">
        <v>144</v>
      </c>
      <c r="K18" s="418">
        <v>6543</v>
      </c>
      <c r="L18" s="418">
        <v>43</v>
      </c>
      <c r="M18" s="415">
        <v>13573</v>
      </c>
      <c r="N18" s="415">
        <v>187</v>
      </c>
      <c r="O18" s="418">
        <v>687</v>
      </c>
      <c r="P18" s="415">
        <f t="shared" si="2"/>
        <v>597</v>
      </c>
      <c r="Q18" s="418"/>
      <c r="R18" s="427">
        <v>6</v>
      </c>
      <c r="S18" s="418">
        <v>0</v>
      </c>
      <c r="T18" s="415">
        <f t="shared" si="3"/>
        <v>6</v>
      </c>
      <c r="U18" s="418"/>
      <c r="V18" s="418"/>
      <c r="W18" s="418">
        <v>7056</v>
      </c>
      <c r="X18" s="418">
        <v>187</v>
      </c>
      <c r="Y18" s="418">
        <v>22</v>
      </c>
      <c r="Z18" s="418">
        <v>100</v>
      </c>
      <c r="AA18" s="418">
        <v>495</v>
      </c>
      <c r="AB18" s="418">
        <v>2</v>
      </c>
      <c r="AC18" s="336">
        <v>1274.6085</v>
      </c>
      <c r="AD18" s="454">
        <v>18.45</v>
      </c>
    </row>
    <row r="19" spans="1:30" ht="24.75" customHeight="1">
      <c r="A19" s="415">
        <v>13</v>
      </c>
      <c r="B19" s="418" t="s">
        <v>806</v>
      </c>
      <c r="C19" s="418"/>
      <c r="D19" s="418" t="s">
        <v>150</v>
      </c>
      <c r="E19" s="418"/>
      <c r="F19" s="419">
        <v>133.679</v>
      </c>
      <c r="G19" s="425">
        <v>0.35</v>
      </c>
      <c r="H19" s="417">
        <f t="shared" si="0"/>
        <v>134.029</v>
      </c>
      <c r="I19" s="418">
        <v>1850</v>
      </c>
      <c r="J19" s="418">
        <v>68</v>
      </c>
      <c r="K19" s="418">
        <v>735</v>
      </c>
      <c r="L19" s="418">
        <v>4</v>
      </c>
      <c r="M19" s="415">
        <f t="shared" si="1"/>
        <v>2585</v>
      </c>
      <c r="N19" s="415">
        <f t="shared" si="1"/>
        <v>72</v>
      </c>
      <c r="O19" s="418">
        <v>255</v>
      </c>
      <c r="P19" s="415">
        <f t="shared" si="2"/>
        <v>234</v>
      </c>
      <c r="Q19" s="418"/>
      <c r="R19" s="427">
        <v>3</v>
      </c>
      <c r="S19" s="418"/>
      <c r="T19" s="415">
        <f t="shared" si="3"/>
        <v>3</v>
      </c>
      <c r="U19" s="418"/>
      <c r="V19" s="418"/>
      <c r="W19" s="418">
        <v>378</v>
      </c>
      <c r="X19" s="418">
        <v>72</v>
      </c>
      <c r="Y19" s="418"/>
      <c r="Z19" s="418">
        <v>72</v>
      </c>
      <c r="AA19" s="418">
        <v>11</v>
      </c>
      <c r="AB19" s="418"/>
      <c r="AC19" s="336">
        <v>276.8651</v>
      </c>
      <c r="AD19" s="454">
        <v>6.94</v>
      </c>
    </row>
    <row r="20" spans="1:30" ht="24.75" customHeight="1">
      <c r="A20" s="418">
        <v>14</v>
      </c>
      <c r="B20" s="418" t="s">
        <v>807</v>
      </c>
      <c r="C20" s="418"/>
      <c r="D20" s="418" t="s">
        <v>150</v>
      </c>
      <c r="E20" s="418"/>
      <c r="F20" s="419">
        <v>40.01</v>
      </c>
      <c r="G20" s="425">
        <v>0.6</v>
      </c>
      <c r="H20" s="417">
        <f t="shared" si="0"/>
        <v>40.61</v>
      </c>
      <c r="I20" s="418">
        <v>683</v>
      </c>
      <c r="J20" s="418">
        <v>24</v>
      </c>
      <c r="K20" s="418">
        <v>120</v>
      </c>
      <c r="L20" s="418">
        <v>3</v>
      </c>
      <c r="M20" s="415">
        <f t="shared" si="1"/>
        <v>803</v>
      </c>
      <c r="N20" s="415">
        <f t="shared" si="1"/>
        <v>27</v>
      </c>
      <c r="O20" s="418">
        <v>99</v>
      </c>
      <c r="P20" s="415">
        <f t="shared" si="2"/>
        <v>81</v>
      </c>
      <c r="Q20" s="418"/>
      <c r="R20" s="427"/>
      <c r="S20" s="418"/>
      <c r="T20" s="415">
        <f t="shared" si="3"/>
        <v>0</v>
      </c>
      <c r="U20" s="418"/>
      <c r="V20" s="418"/>
      <c r="W20" s="418">
        <v>498</v>
      </c>
      <c r="X20" s="418">
        <v>27</v>
      </c>
      <c r="Y20" s="418"/>
      <c r="Z20" s="418">
        <v>27</v>
      </c>
      <c r="AA20" s="418">
        <v>39</v>
      </c>
      <c r="AB20" s="418"/>
      <c r="AC20" s="336">
        <v>62.406</v>
      </c>
      <c r="AD20" s="454">
        <v>6.15</v>
      </c>
    </row>
    <row r="21" spans="1:30" ht="24.75" customHeight="1">
      <c r="A21" s="415">
        <v>15</v>
      </c>
      <c r="B21" s="418" t="s">
        <v>808</v>
      </c>
      <c r="C21" s="418"/>
      <c r="D21" s="418" t="s">
        <v>150</v>
      </c>
      <c r="E21" s="418"/>
      <c r="F21" s="419">
        <v>21.62</v>
      </c>
      <c r="G21" s="425">
        <v>2.9</v>
      </c>
      <c r="H21" s="417">
        <f t="shared" si="0"/>
        <v>24.52</v>
      </c>
      <c r="I21" s="418">
        <v>610</v>
      </c>
      <c r="J21" s="418">
        <v>13</v>
      </c>
      <c r="K21" s="418">
        <v>455</v>
      </c>
      <c r="L21" s="418">
        <v>8</v>
      </c>
      <c r="M21" s="415">
        <f t="shared" si="1"/>
        <v>1065</v>
      </c>
      <c r="N21" s="415">
        <f t="shared" si="1"/>
        <v>21</v>
      </c>
      <c r="O21" s="418">
        <v>69</v>
      </c>
      <c r="P21" s="415">
        <f t="shared" si="2"/>
        <v>81</v>
      </c>
      <c r="Q21" s="418"/>
      <c r="R21" s="427">
        <v>3</v>
      </c>
      <c r="S21" s="418"/>
      <c r="T21" s="415">
        <f t="shared" si="3"/>
        <v>3</v>
      </c>
      <c r="U21" s="418"/>
      <c r="V21" s="418"/>
      <c r="W21" s="418">
        <v>1274</v>
      </c>
      <c r="X21" s="418">
        <v>21</v>
      </c>
      <c r="Y21" s="418"/>
      <c r="Z21" s="418">
        <v>21</v>
      </c>
      <c r="AA21" s="418">
        <v>9</v>
      </c>
      <c r="AB21" s="418"/>
      <c r="AC21" s="336">
        <v>111.3436</v>
      </c>
      <c r="AD21" s="454">
        <v>7.1</v>
      </c>
    </row>
    <row r="22" spans="1:30" ht="24.75" customHeight="1">
      <c r="A22" s="418">
        <v>16</v>
      </c>
      <c r="B22" s="415" t="s">
        <v>809</v>
      </c>
      <c r="C22" s="415"/>
      <c r="D22" s="415" t="s">
        <v>150</v>
      </c>
      <c r="E22" s="415"/>
      <c r="F22" s="416">
        <v>77.685</v>
      </c>
      <c r="G22" s="417">
        <v>8.443</v>
      </c>
      <c r="H22" s="417">
        <f t="shared" si="0"/>
        <v>86.128</v>
      </c>
      <c r="I22" s="415">
        <v>3088</v>
      </c>
      <c r="J22" s="415">
        <v>51</v>
      </c>
      <c r="K22" s="415">
        <v>2863</v>
      </c>
      <c r="L22" s="415">
        <v>25</v>
      </c>
      <c r="M22" s="415">
        <f t="shared" si="1"/>
        <v>5951</v>
      </c>
      <c r="N22" s="415">
        <f t="shared" si="1"/>
        <v>76</v>
      </c>
      <c r="O22" s="415">
        <v>267</v>
      </c>
      <c r="P22" s="415">
        <f t="shared" si="2"/>
        <v>258</v>
      </c>
      <c r="Q22" s="415"/>
      <c r="R22" s="426">
        <v>5</v>
      </c>
      <c r="S22" s="415"/>
      <c r="T22" s="415">
        <f t="shared" si="3"/>
        <v>5</v>
      </c>
      <c r="U22" s="415"/>
      <c r="V22" s="415"/>
      <c r="W22" s="415">
        <v>5166</v>
      </c>
      <c r="X22" s="415">
        <v>75</v>
      </c>
      <c r="Y22" s="415">
        <v>8</v>
      </c>
      <c r="Z22" s="415">
        <v>1</v>
      </c>
      <c r="AA22" s="415">
        <v>147</v>
      </c>
      <c r="AB22" s="415">
        <v>1</v>
      </c>
      <c r="AC22" s="336">
        <v>757.6419</v>
      </c>
      <c r="AD22" s="455">
        <v>8.38</v>
      </c>
    </row>
    <row r="23" spans="1:30" ht="24.75" customHeight="1">
      <c r="A23" s="415">
        <v>17</v>
      </c>
      <c r="B23" s="415" t="s">
        <v>810</v>
      </c>
      <c r="C23" s="418"/>
      <c r="D23" s="418" t="s">
        <v>150</v>
      </c>
      <c r="E23" s="418"/>
      <c r="F23" s="419">
        <v>26.884</v>
      </c>
      <c r="G23" s="425"/>
      <c r="H23" s="417">
        <f t="shared" si="0"/>
        <v>26.884</v>
      </c>
      <c r="I23" s="418">
        <v>810</v>
      </c>
      <c r="J23" s="418">
        <v>14</v>
      </c>
      <c r="K23" s="418">
        <v>263</v>
      </c>
      <c r="L23" s="418">
        <v>2</v>
      </c>
      <c r="M23" s="415">
        <f t="shared" si="1"/>
        <v>1073</v>
      </c>
      <c r="N23" s="415">
        <f t="shared" si="1"/>
        <v>16</v>
      </c>
      <c r="O23" s="418">
        <v>72</v>
      </c>
      <c r="P23" s="415">
        <f t="shared" si="2"/>
        <v>54</v>
      </c>
      <c r="Q23" s="418"/>
      <c r="R23" s="427">
        <v>1</v>
      </c>
      <c r="S23" s="418"/>
      <c r="T23" s="415">
        <f t="shared" si="3"/>
        <v>1</v>
      </c>
      <c r="U23" s="418"/>
      <c r="V23" s="418"/>
      <c r="W23" s="418">
        <v>878</v>
      </c>
      <c r="X23" s="418">
        <v>16</v>
      </c>
      <c r="Y23" s="418">
        <v>1</v>
      </c>
      <c r="Z23" s="418"/>
      <c r="AA23" s="418">
        <v>18</v>
      </c>
      <c r="AB23" s="418"/>
      <c r="AC23" s="336">
        <v>107.1282</v>
      </c>
      <c r="AD23" s="454">
        <v>6.94</v>
      </c>
    </row>
    <row r="24" spans="1:30" ht="24.75" customHeight="1">
      <c r="A24" s="418">
        <v>18</v>
      </c>
      <c r="B24" s="415" t="s">
        <v>811</v>
      </c>
      <c r="C24" s="418"/>
      <c r="D24" s="418" t="s">
        <v>150</v>
      </c>
      <c r="E24" s="418"/>
      <c r="F24" s="419">
        <v>22.23</v>
      </c>
      <c r="G24" s="425">
        <v>0.35</v>
      </c>
      <c r="H24" s="417">
        <f t="shared" si="0"/>
        <v>22.580000000000002</v>
      </c>
      <c r="I24" s="418">
        <v>593</v>
      </c>
      <c r="J24" s="418">
        <v>13</v>
      </c>
      <c r="K24" s="418">
        <v>1200</v>
      </c>
      <c r="L24" s="418">
        <v>7</v>
      </c>
      <c r="M24" s="415">
        <f t="shared" si="1"/>
        <v>1793</v>
      </c>
      <c r="N24" s="415">
        <f t="shared" si="1"/>
        <v>20</v>
      </c>
      <c r="O24" s="418">
        <v>66</v>
      </c>
      <c r="P24" s="415">
        <f t="shared" si="2"/>
        <v>72</v>
      </c>
      <c r="Q24" s="418"/>
      <c r="R24" s="427">
        <v>2</v>
      </c>
      <c r="S24" s="418"/>
      <c r="T24" s="415">
        <f t="shared" si="3"/>
        <v>2</v>
      </c>
      <c r="U24" s="418"/>
      <c r="V24" s="418"/>
      <c r="W24" s="418">
        <v>471</v>
      </c>
      <c r="X24" s="418">
        <v>20</v>
      </c>
      <c r="Y24" s="418">
        <v>3</v>
      </c>
      <c r="Z24" s="418">
        <v>1</v>
      </c>
      <c r="AA24" s="418">
        <v>36</v>
      </c>
      <c r="AB24" s="418">
        <v>1</v>
      </c>
      <c r="AC24" s="336">
        <v>273.3599</v>
      </c>
      <c r="AD24" s="454">
        <v>5.25</v>
      </c>
    </row>
    <row r="25" spans="1:30" ht="24.75" customHeight="1">
      <c r="A25" s="415">
        <v>19</v>
      </c>
      <c r="B25" s="415" t="s">
        <v>812</v>
      </c>
      <c r="C25" s="418"/>
      <c r="D25" s="418" t="s">
        <v>150</v>
      </c>
      <c r="E25" s="418"/>
      <c r="F25" s="419">
        <v>12.183</v>
      </c>
      <c r="G25" s="425">
        <v>6.7</v>
      </c>
      <c r="H25" s="417">
        <f t="shared" si="0"/>
        <v>18.883</v>
      </c>
      <c r="I25" s="418">
        <v>410</v>
      </c>
      <c r="J25" s="418">
        <v>6</v>
      </c>
      <c r="K25" s="418">
        <v>1760</v>
      </c>
      <c r="L25" s="418">
        <v>7</v>
      </c>
      <c r="M25" s="415">
        <f t="shared" si="1"/>
        <v>2170</v>
      </c>
      <c r="N25" s="415">
        <f t="shared" si="1"/>
        <v>13</v>
      </c>
      <c r="O25" s="418">
        <v>45</v>
      </c>
      <c r="P25" s="415">
        <f t="shared" si="2"/>
        <v>45</v>
      </c>
      <c r="Q25" s="418"/>
      <c r="R25" s="427">
        <v>1</v>
      </c>
      <c r="S25" s="418"/>
      <c r="T25" s="415">
        <f t="shared" si="3"/>
        <v>1</v>
      </c>
      <c r="U25" s="418"/>
      <c r="V25" s="418"/>
      <c r="W25" s="418">
        <v>528</v>
      </c>
      <c r="X25" s="418">
        <v>13</v>
      </c>
      <c r="Y25" s="418">
        <v>4</v>
      </c>
      <c r="Z25" s="418">
        <v>2</v>
      </c>
      <c r="AA25" s="418">
        <v>21</v>
      </c>
      <c r="AB25" s="418">
        <v>2</v>
      </c>
      <c r="AC25" s="336">
        <v>607.251</v>
      </c>
      <c r="AD25" s="454">
        <v>5.9</v>
      </c>
    </row>
    <row r="26" spans="1:30" ht="24.75" customHeight="1">
      <c r="A26" s="418">
        <v>20</v>
      </c>
      <c r="B26" s="418" t="s">
        <v>813</v>
      </c>
      <c r="C26" s="418"/>
      <c r="D26" s="418" t="s">
        <v>150</v>
      </c>
      <c r="E26" s="418"/>
      <c r="F26" s="419">
        <v>35.874</v>
      </c>
      <c r="G26" s="425">
        <v>4.2</v>
      </c>
      <c r="H26" s="417">
        <f t="shared" si="0"/>
        <v>40.074000000000005</v>
      </c>
      <c r="I26" s="418">
        <v>1545</v>
      </c>
      <c r="J26" s="418">
        <v>26</v>
      </c>
      <c r="K26" s="418">
        <v>1260</v>
      </c>
      <c r="L26" s="418">
        <v>8</v>
      </c>
      <c r="M26" s="415">
        <f t="shared" si="1"/>
        <v>2805</v>
      </c>
      <c r="N26" s="415">
        <f t="shared" si="1"/>
        <v>34</v>
      </c>
      <c r="O26" s="418">
        <v>108</v>
      </c>
      <c r="P26" s="415">
        <f t="shared" si="2"/>
        <v>114</v>
      </c>
      <c r="Q26" s="418"/>
      <c r="R26" s="427">
        <v>2</v>
      </c>
      <c r="S26" s="418"/>
      <c r="T26" s="415">
        <f t="shared" si="3"/>
        <v>2</v>
      </c>
      <c r="U26" s="418"/>
      <c r="V26" s="418"/>
      <c r="W26" s="418">
        <v>456</v>
      </c>
      <c r="X26" s="418">
        <v>33</v>
      </c>
      <c r="Y26" s="418">
        <v>1</v>
      </c>
      <c r="Z26" s="418">
        <v>1</v>
      </c>
      <c r="AA26" s="418">
        <v>63</v>
      </c>
      <c r="AB26" s="418">
        <v>1</v>
      </c>
      <c r="AC26" s="336">
        <v>985.7652</v>
      </c>
      <c r="AD26" s="454">
        <v>7.47</v>
      </c>
    </row>
    <row r="27" spans="1:30" ht="24.75" customHeight="1">
      <c r="A27" s="426">
        <v>21</v>
      </c>
      <c r="B27" s="427" t="s">
        <v>814</v>
      </c>
      <c r="C27" s="427"/>
      <c r="D27" s="427" t="s">
        <v>150</v>
      </c>
      <c r="E27" s="427"/>
      <c r="F27" s="425">
        <v>130.95</v>
      </c>
      <c r="G27" s="425">
        <v>6.8</v>
      </c>
      <c r="H27" s="417">
        <f t="shared" si="0"/>
        <v>137.75</v>
      </c>
      <c r="I27" s="427">
        <v>2433</v>
      </c>
      <c r="J27" s="427">
        <v>63</v>
      </c>
      <c r="K27" s="427">
        <v>4515</v>
      </c>
      <c r="L27" s="427">
        <v>19</v>
      </c>
      <c r="M27" s="426">
        <f t="shared" si="1"/>
        <v>6948</v>
      </c>
      <c r="N27" s="426">
        <f t="shared" si="1"/>
        <v>82</v>
      </c>
      <c r="O27" s="427">
        <v>251</v>
      </c>
      <c r="P27" s="426">
        <f t="shared" si="2"/>
        <v>312</v>
      </c>
      <c r="Q27" s="427"/>
      <c r="R27" s="427">
        <v>11</v>
      </c>
      <c r="S27" s="427"/>
      <c r="T27" s="426">
        <f t="shared" si="3"/>
        <v>11</v>
      </c>
      <c r="U27" s="427"/>
      <c r="V27" s="427"/>
      <c r="W27" s="427">
        <v>3362</v>
      </c>
      <c r="X27" s="427">
        <v>73</v>
      </c>
      <c r="Y27" s="427">
        <v>2</v>
      </c>
      <c r="Z27" s="427">
        <v>6</v>
      </c>
      <c r="AA27" s="427">
        <v>135</v>
      </c>
      <c r="AB27" s="427">
        <v>6</v>
      </c>
      <c r="AC27" s="336">
        <v>292.8174</v>
      </c>
      <c r="AD27" s="460">
        <v>6.74</v>
      </c>
    </row>
    <row r="28" spans="1:30" ht="24.75" customHeight="1">
      <c r="A28" s="427">
        <v>22</v>
      </c>
      <c r="B28" s="427" t="s">
        <v>815</v>
      </c>
      <c r="C28" s="427"/>
      <c r="D28" s="427"/>
      <c r="E28" s="427" t="s">
        <v>150</v>
      </c>
      <c r="F28" s="425">
        <v>13.938</v>
      </c>
      <c r="G28" s="425">
        <v>9.5</v>
      </c>
      <c r="H28" s="417">
        <f t="shared" si="0"/>
        <v>23.438000000000002</v>
      </c>
      <c r="I28" s="427">
        <v>373</v>
      </c>
      <c r="J28" s="427">
        <v>9</v>
      </c>
      <c r="K28" s="427">
        <v>2260</v>
      </c>
      <c r="L28" s="427">
        <v>10</v>
      </c>
      <c r="M28" s="426">
        <f t="shared" si="1"/>
        <v>2633</v>
      </c>
      <c r="N28" s="426">
        <f t="shared" si="1"/>
        <v>19</v>
      </c>
      <c r="O28" s="427">
        <v>57</v>
      </c>
      <c r="P28" s="426">
        <f t="shared" si="2"/>
        <v>63</v>
      </c>
      <c r="Q28" s="427"/>
      <c r="R28" s="427">
        <v>1</v>
      </c>
      <c r="S28" s="427"/>
      <c r="T28" s="426">
        <f t="shared" si="3"/>
        <v>1</v>
      </c>
      <c r="U28" s="427"/>
      <c r="V28" s="427"/>
      <c r="W28" s="427">
        <v>525</v>
      </c>
      <c r="X28" s="427">
        <v>16</v>
      </c>
      <c r="Y28" s="427">
        <v>2</v>
      </c>
      <c r="Z28" s="427">
        <v>2</v>
      </c>
      <c r="AA28" s="427">
        <v>18</v>
      </c>
      <c r="AB28" s="427"/>
      <c r="AC28" s="336">
        <v>388.104</v>
      </c>
      <c r="AD28" s="460">
        <v>0</v>
      </c>
    </row>
    <row r="29" spans="1:30" ht="24.75" customHeight="1">
      <c r="A29" s="415">
        <v>23</v>
      </c>
      <c r="B29" s="418" t="s">
        <v>816</v>
      </c>
      <c r="C29" s="418"/>
      <c r="D29" s="418"/>
      <c r="E29" s="418" t="s">
        <v>150</v>
      </c>
      <c r="F29" s="419"/>
      <c r="G29" s="425">
        <v>15.4</v>
      </c>
      <c r="H29" s="417">
        <f t="shared" si="0"/>
        <v>15.4</v>
      </c>
      <c r="I29" s="418"/>
      <c r="J29" s="418"/>
      <c r="K29" s="418">
        <v>1750</v>
      </c>
      <c r="L29" s="418">
        <v>2</v>
      </c>
      <c r="M29" s="415">
        <f t="shared" si="1"/>
        <v>1750</v>
      </c>
      <c r="N29" s="415">
        <f t="shared" si="1"/>
        <v>2</v>
      </c>
      <c r="O29" s="418">
        <v>6</v>
      </c>
      <c r="P29" s="415">
        <f t="shared" si="2"/>
        <v>18</v>
      </c>
      <c r="Q29" s="418"/>
      <c r="R29" s="427">
        <v>2</v>
      </c>
      <c r="S29" s="418"/>
      <c r="T29" s="415">
        <f t="shared" si="3"/>
        <v>2</v>
      </c>
      <c r="U29" s="418"/>
      <c r="V29" s="418"/>
      <c r="W29" s="418"/>
      <c r="X29" s="418"/>
      <c r="Y29" s="418"/>
      <c r="Z29" s="418">
        <v>1</v>
      </c>
      <c r="AA29" s="418"/>
      <c r="AB29" s="418"/>
      <c r="AC29" s="461">
        <v>67.452</v>
      </c>
      <c r="AD29" s="454">
        <v>0</v>
      </c>
    </row>
    <row r="30" spans="1:30" ht="24.75" customHeight="1">
      <c r="A30" s="418">
        <v>24</v>
      </c>
      <c r="B30" s="428" t="s">
        <v>817</v>
      </c>
      <c r="C30" s="429"/>
      <c r="D30" s="429"/>
      <c r="E30" s="429" t="s">
        <v>150</v>
      </c>
      <c r="F30" s="429"/>
      <c r="G30" s="430">
        <v>0.65</v>
      </c>
      <c r="H30" s="430">
        <f t="shared" si="0"/>
        <v>0.65</v>
      </c>
      <c r="I30" s="429"/>
      <c r="J30" s="429"/>
      <c r="K30" s="429">
        <v>2900</v>
      </c>
      <c r="L30" s="429">
        <v>4</v>
      </c>
      <c r="M30" s="415">
        <f t="shared" si="1"/>
        <v>2900</v>
      </c>
      <c r="N30" s="415">
        <f t="shared" si="1"/>
        <v>4</v>
      </c>
      <c r="O30" s="429">
        <v>12</v>
      </c>
      <c r="P30" s="415">
        <f t="shared" si="2"/>
        <v>12</v>
      </c>
      <c r="Q30" s="429"/>
      <c r="R30" s="452"/>
      <c r="S30" s="429"/>
      <c r="T30" s="415">
        <f t="shared" si="3"/>
        <v>0</v>
      </c>
      <c r="U30" s="453"/>
      <c r="V30" s="453"/>
      <c r="W30" s="429"/>
      <c r="X30" s="429"/>
      <c r="Y30" s="429"/>
      <c r="Z30" s="429"/>
      <c r="AA30" s="429"/>
      <c r="AB30" s="429"/>
      <c r="AC30" s="336">
        <v>1039.098</v>
      </c>
      <c r="AD30" s="454">
        <v>0</v>
      </c>
    </row>
    <row r="31" spans="1:30" ht="24.75" customHeight="1">
      <c r="A31" s="415">
        <v>25</v>
      </c>
      <c r="B31" s="418" t="s">
        <v>818</v>
      </c>
      <c r="C31" s="418"/>
      <c r="D31" s="418"/>
      <c r="E31" s="418" t="s">
        <v>150</v>
      </c>
      <c r="F31" s="419"/>
      <c r="G31" s="425">
        <v>9.5</v>
      </c>
      <c r="H31" s="417">
        <f t="shared" si="0"/>
        <v>9.5</v>
      </c>
      <c r="I31" s="418"/>
      <c r="J31" s="418"/>
      <c r="K31" s="418">
        <v>1205</v>
      </c>
      <c r="L31" s="418">
        <v>4</v>
      </c>
      <c r="M31" s="415">
        <f t="shared" si="1"/>
        <v>1205</v>
      </c>
      <c r="N31" s="415">
        <f t="shared" si="1"/>
        <v>4</v>
      </c>
      <c r="O31" s="418">
        <v>12</v>
      </c>
      <c r="P31" s="415">
        <f t="shared" si="2"/>
        <v>12</v>
      </c>
      <c r="Q31" s="418"/>
      <c r="R31" s="427"/>
      <c r="S31" s="418"/>
      <c r="T31" s="415">
        <f t="shared" si="3"/>
        <v>0</v>
      </c>
      <c r="U31" s="418"/>
      <c r="V31" s="418"/>
      <c r="W31" s="418"/>
      <c r="X31" s="418"/>
      <c r="Y31" s="418"/>
      <c r="Z31" s="418">
        <v>1</v>
      </c>
      <c r="AA31" s="418">
        <v>3</v>
      </c>
      <c r="AB31" s="418"/>
      <c r="AC31" s="450">
        <v>0</v>
      </c>
      <c r="AD31" s="454">
        <v>0</v>
      </c>
    </row>
    <row r="32" spans="1:30" ht="24.75" customHeight="1">
      <c r="A32" s="418">
        <v>26</v>
      </c>
      <c r="B32" s="415" t="s">
        <v>819</v>
      </c>
      <c r="C32" s="415"/>
      <c r="D32" s="415" t="s">
        <v>150</v>
      </c>
      <c r="E32" s="415"/>
      <c r="F32" s="417">
        <v>113.983</v>
      </c>
      <c r="G32" s="417">
        <v>8.14</v>
      </c>
      <c r="H32" s="417">
        <f t="shared" si="0"/>
        <v>122.123</v>
      </c>
      <c r="I32" s="415">
        <v>7455</v>
      </c>
      <c r="J32" s="415">
        <v>66</v>
      </c>
      <c r="K32" s="415">
        <v>5215</v>
      </c>
      <c r="L32" s="415">
        <v>26</v>
      </c>
      <c r="M32" s="415">
        <f t="shared" si="1"/>
        <v>12670</v>
      </c>
      <c r="N32" s="415">
        <f t="shared" si="1"/>
        <v>92</v>
      </c>
      <c r="O32" s="415">
        <v>309</v>
      </c>
      <c r="P32" s="415">
        <f t="shared" si="2"/>
        <v>306</v>
      </c>
      <c r="Q32" s="415"/>
      <c r="R32" s="426">
        <v>4</v>
      </c>
      <c r="S32" s="415">
        <v>1</v>
      </c>
      <c r="T32" s="415">
        <f t="shared" si="3"/>
        <v>5</v>
      </c>
      <c r="U32" s="415"/>
      <c r="V32" s="415"/>
      <c r="W32" s="415">
        <v>2766</v>
      </c>
      <c r="X32" s="415">
        <v>92</v>
      </c>
      <c r="Y32" s="415">
        <v>18</v>
      </c>
      <c r="Z32" s="415"/>
      <c r="AA32" s="415">
        <v>219</v>
      </c>
      <c r="AB32" s="415">
        <v>2</v>
      </c>
      <c r="AC32" s="336">
        <v>1002.5776</v>
      </c>
      <c r="AD32" s="455">
        <v>7.55</v>
      </c>
    </row>
    <row r="33" spans="1:30" ht="24.75" customHeight="1">
      <c r="A33" s="415">
        <v>27</v>
      </c>
      <c r="B33" s="415" t="s">
        <v>820</v>
      </c>
      <c r="C33" s="340"/>
      <c r="D33" s="415" t="s">
        <v>150</v>
      </c>
      <c r="E33" s="340"/>
      <c r="F33" s="340">
        <v>112.801</v>
      </c>
      <c r="G33" s="340">
        <v>1.73</v>
      </c>
      <c r="H33" s="425">
        <v>114.53099999999999</v>
      </c>
      <c r="I33" s="340">
        <v>3578</v>
      </c>
      <c r="J33" s="340">
        <v>71</v>
      </c>
      <c r="K33" s="340">
        <v>3100</v>
      </c>
      <c r="L33" s="340">
        <v>18</v>
      </c>
      <c r="M33" s="418">
        <v>6808</v>
      </c>
      <c r="N33" s="418">
        <v>89</v>
      </c>
      <c r="O33" s="418">
        <v>297</v>
      </c>
      <c r="P33" s="415">
        <f t="shared" si="2"/>
        <v>291</v>
      </c>
      <c r="Q33" s="418"/>
      <c r="R33" s="427">
        <v>4</v>
      </c>
      <c r="S33" s="418">
        <v>0</v>
      </c>
      <c r="T33" s="415">
        <f t="shared" si="3"/>
        <v>4</v>
      </c>
      <c r="U33" s="418">
        <v>200</v>
      </c>
      <c r="V33" s="418">
        <v>1</v>
      </c>
      <c r="W33" s="454">
        <v>3738</v>
      </c>
      <c r="X33" s="454">
        <v>100</v>
      </c>
      <c r="Y33" s="454">
        <v>16</v>
      </c>
      <c r="Z33" s="454">
        <v>1</v>
      </c>
      <c r="AA33" s="454">
        <v>240</v>
      </c>
      <c r="AB33" s="418"/>
      <c r="AC33" s="462">
        <v>805.5099</v>
      </c>
      <c r="AD33" s="460">
        <v>7.61</v>
      </c>
    </row>
    <row r="34" spans="1:30" ht="24.75" customHeight="1">
      <c r="A34" s="418">
        <v>28</v>
      </c>
      <c r="B34" s="415" t="s">
        <v>821</v>
      </c>
      <c r="C34" s="415"/>
      <c r="D34" s="415" t="s">
        <v>150</v>
      </c>
      <c r="E34" s="415"/>
      <c r="F34" s="415">
        <v>62.29</v>
      </c>
      <c r="G34" s="415">
        <v>8.229</v>
      </c>
      <c r="H34" s="417">
        <f t="shared" si="0"/>
        <v>70.519</v>
      </c>
      <c r="I34" s="415">
        <v>1223</v>
      </c>
      <c r="J34" s="415">
        <v>30</v>
      </c>
      <c r="K34" s="415">
        <v>2306</v>
      </c>
      <c r="L34" s="415">
        <v>14</v>
      </c>
      <c r="M34" s="415">
        <f t="shared" si="1"/>
        <v>3529</v>
      </c>
      <c r="N34" s="415">
        <f t="shared" si="1"/>
        <v>44</v>
      </c>
      <c r="O34" s="415">
        <v>158</v>
      </c>
      <c r="P34" s="415">
        <f t="shared" si="2"/>
        <v>162</v>
      </c>
      <c r="Q34" s="415"/>
      <c r="R34" s="426">
        <v>5</v>
      </c>
      <c r="S34" s="415"/>
      <c r="T34" s="415">
        <f t="shared" si="3"/>
        <v>5</v>
      </c>
      <c r="U34" s="415"/>
      <c r="V34" s="415"/>
      <c r="W34" s="455">
        <v>1195</v>
      </c>
      <c r="X34" s="455">
        <v>46</v>
      </c>
      <c r="Y34" s="455">
        <v>2</v>
      </c>
      <c r="Z34" s="455">
        <v>2</v>
      </c>
      <c r="AA34" s="455">
        <v>30</v>
      </c>
      <c r="AB34" s="415"/>
      <c r="AC34" s="462">
        <v>498.2641</v>
      </c>
      <c r="AD34" s="455">
        <v>5.24</v>
      </c>
    </row>
    <row r="35" spans="1:30" ht="24.75" customHeight="1">
      <c r="A35" s="415">
        <v>29</v>
      </c>
      <c r="B35" s="418" t="s">
        <v>822</v>
      </c>
      <c r="C35" s="418"/>
      <c r="D35" s="415" t="s">
        <v>150</v>
      </c>
      <c r="E35" s="418"/>
      <c r="F35" s="418">
        <v>24.02</v>
      </c>
      <c r="G35" s="418">
        <v>2.678</v>
      </c>
      <c r="H35" s="417">
        <f t="shared" si="0"/>
        <v>26.698</v>
      </c>
      <c r="I35" s="418">
        <v>760</v>
      </c>
      <c r="J35" s="418">
        <v>16</v>
      </c>
      <c r="K35" s="418">
        <v>4710</v>
      </c>
      <c r="L35" s="418">
        <v>14</v>
      </c>
      <c r="M35" s="415">
        <f t="shared" si="1"/>
        <v>5470</v>
      </c>
      <c r="N35" s="415">
        <f t="shared" si="1"/>
        <v>30</v>
      </c>
      <c r="O35" s="418">
        <v>99</v>
      </c>
      <c r="P35" s="415">
        <f t="shared" si="2"/>
        <v>114</v>
      </c>
      <c r="Q35" s="418"/>
      <c r="R35" s="427">
        <v>4</v>
      </c>
      <c r="S35" s="418"/>
      <c r="T35" s="415">
        <f t="shared" si="3"/>
        <v>4</v>
      </c>
      <c r="U35" s="418"/>
      <c r="V35" s="418"/>
      <c r="W35" s="454">
        <v>1004</v>
      </c>
      <c r="X35" s="454">
        <v>30</v>
      </c>
      <c r="Y35" s="454">
        <v>1</v>
      </c>
      <c r="Z35" s="454">
        <v>2</v>
      </c>
      <c r="AA35" s="454">
        <v>15</v>
      </c>
      <c r="AB35" s="418"/>
      <c r="AC35" s="462">
        <v>347.4009</v>
      </c>
      <c r="AD35" s="454">
        <v>5.76</v>
      </c>
    </row>
    <row r="36" spans="1:30" ht="24.75" customHeight="1">
      <c r="A36" s="418">
        <v>30</v>
      </c>
      <c r="B36" s="418" t="s">
        <v>823</v>
      </c>
      <c r="C36" s="418"/>
      <c r="D36" s="415" t="s">
        <v>150</v>
      </c>
      <c r="E36" s="418"/>
      <c r="F36" s="418">
        <v>5.655</v>
      </c>
      <c r="G36" s="418">
        <v>2.235</v>
      </c>
      <c r="H36" s="417">
        <f t="shared" si="0"/>
        <v>7.890000000000001</v>
      </c>
      <c r="I36" s="418">
        <v>590</v>
      </c>
      <c r="J36" s="418">
        <v>5</v>
      </c>
      <c r="K36" s="418">
        <v>1100</v>
      </c>
      <c r="L36" s="418">
        <v>6</v>
      </c>
      <c r="M36" s="415">
        <f t="shared" si="1"/>
        <v>1690</v>
      </c>
      <c r="N36" s="415">
        <f t="shared" si="1"/>
        <v>11</v>
      </c>
      <c r="O36" s="418">
        <v>36</v>
      </c>
      <c r="P36" s="415">
        <f t="shared" si="2"/>
        <v>45</v>
      </c>
      <c r="Q36" s="418"/>
      <c r="R36" s="427">
        <v>2</v>
      </c>
      <c r="S36" s="418"/>
      <c r="T36" s="415">
        <f t="shared" si="3"/>
        <v>2</v>
      </c>
      <c r="U36" s="418"/>
      <c r="V36" s="418"/>
      <c r="W36" s="454">
        <v>646</v>
      </c>
      <c r="X36" s="454">
        <v>17</v>
      </c>
      <c r="Y36" s="454">
        <v>2</v>
      </c>
      <c r="Z36" s="454">
        <v>0</v>
      </c>
      <c r="AA36" s="454">
        <v>15</v>
      </c>
      <c r="AB36" s="418"/>
      <c r="AC36" s="462">
        <v>392.2534</v>
      </c>
      <c r="AD36" s="454">
        <v>5.29</v>
      </c>
    </row>
    <row r="37" spans="1:30" ht="24.75" customHeight="1">
      <c r="A37" s="415">
        <v>31</v>
      </c>
      <c r="B37" s="418" t="s">
        <v>824</v>
      </c>
      <c r="C37" s="418"/>
      <c r="D37" s="415" t="s">
        <v>150</v>
      </c>
      <c r="E37" s="418"/>
      <c r="F37" s="418">
        <v>42.074</v>
      </c>
      <c r="G37" s="418">
        <v>2.6</v>
      </c>
      <c r="H37" s="417">
        <f t="shared" si="0"/>
        <v>44.674</v>
      </c>
      <c r="I37" s="418">
        <v>1825</v>
      </c>
      <c r="J37" s="418">
        <v>24</v>
      </c>
      <c r="K37" s="418">
        <v>4681</v>
      </c>
      <c r="L37" s="418">
        <v>19</v>
      </c>
      <c r="M37" s="415">
        <f t="shared" si="1"/>
        <v>6506</v>
      </c>
      <c r="N37" s="415">
        <f t="shared" si="1"/>
        <v>43</v>
      </c>
      <c r="O37" s="418">
        <v>150</v>
      </c>
      <c r="P37" s="415">
        <f t="shared" si="2"/>
        <v>159</v>
      </c>
      <c r="Q37" s="418"/>
      <c r="R37" s="427">
        <v>5</v>
      </c>
      <c r="S37" s="418"/>
      <c r="T37" s="415">
        <f t="shared" si="3"/>
        <v>5</v>
      </c>
      <c r="U37" s="418"/>
      <c r="V37" s="418"/>
      <c r="W37" s="454">
        <v>1914</v>
      </c>
      <c r="X37" s="454">
        <v>32</v>
      </c>
      <c r="Y37" s="454"/>
      <c r="Z37" s="454">
        <v>3</v>
      </c>
      <c r="AA37" s="454">
        <v>33</v>
      </c>
      <c r="AB37" s="418"/>
      <c r="AC37" s="462">
        <v>594.3581</v>
      </c>
      <c r="AD37" s="454">
        <v>5.57</v>
      </c>
    </row>
    <row r="38" spans="1:30" ht="24.75" customHeight="1">
      <c r="A38" s="431" t="s">
        <v>122</v>
      </c>
      <c r="B38" s="432"/>
      <c r="C38" s="418">
        <v>3</v>
      </c>
      <c r="D38" s="418">
        <v>21</v>
      </c>
      <c r="E38" s="418">
        <v>7</v>
      </c>
      <c r="F38" s="433">
        <f aca="true" t="shared" si="4" ref="F38:H38">SUM(F6:F37)</f>
        <v>1328.689</v>
      </c>
      <c r="G38" s="434">
        <f t="shared" si="4"/>
        <v>143.26100000000002</v>
      </c>
      <c r="H38" s="434">
        <f t="shared" si="4"/>
        <v>1471.9500000000005</v>
      </c>
      <c r="I38" s="444">
        <f aca="true" t="shared" si="5" ref="I38:O38">SUM(I6:I37)</f>
        <v>54148</v>
      </c>
      <c r="J38" s="444">
        <f t="shared" si="5"/>
        <v>841</v>
      </c>
      <c r="K38" s="444">
        <f t="shared" si="5"/>
        <v>93283</v>
      </c>
      <c r="L38" s="444">
        <f t="shared" si="5"/>
        <v>409</v>
      </c>
      <c r="M38" s="444">
        <f t="shared" si="5"/>
        <v>147867</v>
      </c>
      <c r="N38" s="444">
        <f t="shared" si="5"/>
        <v>1250</v>
      </c>
      <c r="O38" s="444">
        <f t="shared" si="5"/>
        <v>4285</v>
      </c>
      <c r="P38" s="415">
        <f t="shared" si="2"/>
        <v>4296</v>
      </c>
      <c r="Q38" s="444"/>
      <c r="R38" s="456">
        <f aca="true" t="shared" si="6" ref="R38:AB38">SUM(R6:R37)</f>
        <v>88</v>
      </c>
      <c r="S38" s="444">
        <f t="shared" si="6"/>
        <v>3</v>
      </c>
      <c r="T38" s="444">
        <f t="shared" si="6"/>
        <v>91</v>
      </c>
      <c r="U38" s="444">
        <f t="shared" si="6"/>
        <v>200</v>
      </c>
      <c r="V38" s="444">
        <f t="shared" si="6"/>
        <v>1</v>
      </c>
      <c r="W38" s="444">
        <f t="shared" si="6"/>
        <v>43968</v>
      </c>
      <c r="X38" s="444">
        <f t="shared" si="6"/>
        <v>1627</v>
      </c>
      <c r="Y38" s="444">
        <f t="shared" si="6"/>
        <v>143</v>
      </c>
      <c r="Z38" s="444">
        <f t="shared" si="6"/>
        <v>243</v>
      </c>
      <c r="AA38" s="444">
        <f t="shared" si="6"/>
        <v>2350</v>
      </c>
      <c r="AB38" s="444">
        <f t="shared" si="6"/>
        <v>66</v>
      </c>
      <c r="AC38" s="462">
        <f>SUM(AC7:AC37)</f>
        <v>15811.894699999997</v>
      </c>
      <c r="AD38" s="444">
        <v>6.99</v>
      </c>
    </row>
    <row r="39" spans="1:30" ht="24.75" customHeight="1">
      <c r="A39" s="435" t="s">
        <v>209</v>
      </c>
      <c r="B39" s="436"/>
      <c r="C39" s="427">
        <v>3</v>
      </c>
      <c r="D39" s="427">
        <v>21</v>
      </c>
      <c r="E39" s="427">
        <v>7</v>
      </c>
      <c r="F39" s="437">
        <f aca="true" t="shared" si="7" ref="F39:AB39">SUM(F7:F37)</f>
        <v>1328.689</v>
      </c>
      <c r="G39" s="438">
        <f t="shared" si="7"/>
        <v>143.26100000000002</v>
      </c>
      <c r="H39" s="438">
        <f t="shared" si="7"/>
        <v>1471.9500000000005</v>
      </c>
      <c r="I39" s="445">
        <f t="shared" si="7"/>
        <v>54148</v>
      </c>
      <c r="J39" s="445">
        <f t="shared" si="7"/>
        <v>841</v>
      </c>
      <c r="K39" s="445">
        <f t="shared" si="7"/>
        <v>93283</v>
      </c>
      <c r="L39" s="445">
        <f t="shared" si="7"/>
        <v>409</v>
      </c>
      <c r="M39" s="445">
        <f t="shared" si="7"/>
        <v>147867</v>
      </c>
      <c r="N39" s="445">
        <f t="shared" si="7"/>
        <v>1250</v>
      </c>
      <c r="O39" s="445">
        <f t="shared" si="7"/>
        <v>4285</v>
      </c>
      <c r="P39" s="445">
        <f t="shared" si="7"/>
        <v>4296</v>
      </c>
      <c r="Q39" s="445"/>
      <c r="R39" s="445">
        <f t="shared" si="7"/>
        <v>88</v>
      </c>
      <c r="S39" s="445">
        <f t="shared" si="7"/>
        <v>3</v>
      </c>
      <c r="T39" s="445">
        <f t="shared" si="7"/>
        <v>91</v>
      </c>
      <c r="U39" s="445">
        <f t="shared" si="7"/>
        <v>200</v>
      </c>
      <c r="V39" s="445">
        <f t="shared" si="7"/>
        <v>1</v>
      </c>
      <c r="W39" s="457">
        <f t="shared" si="7"/>
        <v>43968</v>
      </c>
      <c r="X39" s="457">
        <f t="shared" si="7"/>
        <v>1627</v>
      </c>
      <c r="Y39" s="457">
        <f t="shared" si="7"/>
        <v>143</v>
      </c>
      <c r="Z39" s="457">
        <f t="shared" si="7"/>
        <v>243</v>
      </c>
      <c r="AA39" s="457">
        <f t="shared" si="7"/>
        <v>2350</v>
      </c>
      <c r="AB39" s="445">
        <f t="shared" si="7"/>
        <v>66</v>
      </c>
      <c r="AC39" s="336">
        <f>AC38</f>
        <v>15811.894699999997</v>
      </c>
      <c r="AD39" s="456">
        <v>6.99</v>
      </c>
    </row>
    <row r="40" spans="1:30" ht="15">
      <c r="A40" s="439"/>
      <c r="B40" s="440" t="s">
        <v>210</v>
      </c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58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63"/>
    </row>
    <row r="41" spans="1:30" ht="15">
      <c r="A41" s="348"/>
      <c r="B41" s="442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59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64"/>
    </row>
    <row r="42" spans="4:30" ht="15">
      <c r="D42" s="297" t="s">
        <v>176</v>
      </c>
      <c r="O42" s="446" t="s">
        <v>177</v>
      </c>
      <c r="P42" s="446"/>
      <c r="Q42" s="446"/>
      <c r="R42" s="446"/>
      <c r="S42" s="446"/>
      <c r="T42" s="446"/>
      <c r="Z42" s="446" t="s">
        <v>825</v>
      </c>
      <c r="AA42" s="446"/>
      <c r="AB42" s="446"/>
      <c r="AC42" s="446"/>
      <c r="AD42" s="446"/>
    </row>
  </sheetData>
  <sheetProtection/>
  <mergeCells count="25">
    <mergeCell ref="A1:AD1"/>
    <mergeCell ref="U2:Z2"/>
    <mergeCell ref="C3:E3"/>
    <mergeCell ref="F3:H3"/>
    <mergeCell ref="I3:N3"/>
    <mergeCell ref="Q3:T3"/>
    <mergeCell ref="U3:V3"/>
    <mergeCell ref="W3:Y3"/>
    <mergeCell ref="AA3:AB3"/>
    <mergeCell ref="A38:B38"/>
    <mergeCell ref="A39:B39"/>
    <mergeCell ref="O42:T42"/>
    <mergeCell ref="Z42:AD42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6" width="12.625" style="0" customWidth="1"/>
    <col min="7" max="7" width="11.125" style="0" customWidth="1"/>
    <col min="8" max="8" width="12.625" style="0" customWidth="1"/>
  </cols>
  <sheetData>
    <row r="1" spans="1:8" ht="34.5" customHeight="1">
      <c r="A1" s="924" t="s">
        <v>89</v>
      </c>
      <c r="B1" s="924"/>
      <c r="C1" s="924"/>
      <c r="D1" s="924"/>
      <c r="E1" s="924"/>
      <c r="F1" s="924"/>
      <c r="G1" s="924"/>
      <c r="H1" s="924"/>
    </row>
    <row r="2" spans="1:8" ht="15" customHeight="1">
      <c r="A2" s="925" t="s">
        <v>1</v>
      </c>
      <c r="B2" s="925" t="s">
        <v>2</v>
      </c>
      <c r="C2" s="926" t="s">
        <v>3</v>
      </c>
      <c r="D2" s="926" t="s">
        <v>4</v>
      </c>
      <c r="E2" s="927" t="s">
        <v>5</v>
      </c>
      <c r="F2" s="928" t="s">
        <v>6</v>
      </c>
      <c r="G2" s="927" t="s">
        <v>7</v>
      </c>
      <c r="H2" s="940" t="s">
        <v>8</v>
      </c>
    </row>
    <row r="3" spans="1:8" ht="15" customHeight="1">
      <c r="A3" s="925"/>
      <c r="B3" s="925"/>
      <c r="C3" s="926"/>
      <c r="D3" s="926"/>
      <c r="E3" s="927"/>
      <c r="F3" s="928"/>
      <c r="G3" s="927"/>
      <c r="H3" s="941"/>
    </row>
    <row r="4" spans="1:8" ht="15" customHeight="1">
      <c r="A4" s="931">
        <v>1</v>
      </c>
      <c r="B4" s="931" t="s">
        <v>9</v>
      </c>
      <c r="C4" s="932" t="s">
        <v>10</v>
      </c>
      <c r="D4" s="933" t="s">
        <v>11</v>
      </c>
      <c r="E4" s="934">
        <v>3035</v>
      </c>
      <c r="F4" s="935">
        <v>5923.8</v>
      </c>
      <c r="G4" s="934">
        <f aca="true" t="shared" si="0" ref="G4:G15">F4-E4</f>
        <v>2888.8</v>
      </c>
      <c r="H4" s="936">
        <f>E4/F4</f>
        <v>0.5123400519936527</v>
      </c>
    </row>
    <row r="5" spans="1:8" ht="15" customHeight="1">
      <c r="A5" s="931">
        <v>2</v>
      </c>
      <c r="B5" s="931" t="s">
        <v>9</v>
      </c>
      <c r="C5" s="932" t="s">
        <v>10</v>
      </c>
      <c r="D5" s="933" t="s">
        <v>12</v>
      </c>
      <c r="E5" s="934">
        <v>2200</v>
      </c>
      <c r="F5" s="935">
        <v>3504.915</v>
      </c>
      <c r="G5" s="934">
        <f t="shared" si="0"/>
        <v>1304.915</v>
      </c>
      <c r="H5" s="936">
        <f>E5/F5</f>
        <v>0.6276899725100323</v>
      </c>
    </row>
    <row r="6" spans="1:8" ht="15" customHeight="1">
      <c r="A6" s="931">
        <v>3</v>
      </c>
      <c r="B6" s="931" t="s">
        <v>9</v>
      </c>
      <c r="C6" s="932" t="s">
        <v>10</v>
      </c>
      <c r="D6" s="933" t="s">
        <v>13</v>
      </c>
      <c r="E6" s="934">
        <v>1265</v>
      </c>
      <c r="F6" s="935">
        <v>3504.915</v>
      </c>
      <c r="G6" s="934">
        <f t="shared" si="0"/>
        <v>2239.915</v>
      </c>
      <c r="H6" s="936">
        <f aca="true" t="shared" si="1" ref="H4:H15">E6/F6</f>
        <v>0.3609217341932686</v>
      </c>
    </row>
    <row r="7" spans="1:8" ht="15" customHeight="1">
      <c r="A7" s="931">
        <v>4</v>
      </c>
      <c r="B7" s="931" t="s">
        <v>9</v>
      </c>
      <c r="C7" s="932" t="s">
        <v>10</v>
      </c>
      <c r="D7" s="933" t="s">
        <v>14</v>
      </c>
      <c r="E7" s="934">
        <v>1556</v>
      </c>
      <c r="F7" s="935">
        <v>4344.12</v>
      </c>
      <c r="G7" s="934">
        <f t="shared" si="0"/>
        <v>2788.12</v>
      </c>
      <c r="H7" s="936">
        <f t="shared" si="1"/>
        <v>0.3581853171643509</v>
      </c>
    </row>
    <row r="8" spans="1:8" ht="15" customHeight="1">
      <c r="A8" s="931">
        <v>5</v>
      </c>
      <c r="B8" s="931" t="s">
        <v>9</v>
      </c>
      <c r="C8" s="932" t="s">
        <v>10</v>
      </c>
      <c r="D8" s="933" t="s">
        <v>15</v>
      </c>
      <c r="E8" s="934">
        <v>1975</v>
      </c>
      <c r="F8" s="935">
        <v>4344.12</v>
      </c>
      <c r="G8" s="934">
        <f t="shared" si="0"/>
        <v>2369.12</v>
      </c>
      <c r="H8" s="936">
        <f t="shared" si="1"/>
        <v>0.45463753303315746</v>
      </c>
    </row>
    <row r="9" spans="1:8" ht="15" customHeight="1">
      <c r="A9" s="931">
        <v>6</v>
      </c>
      <c r="B9" s="931" t="s">
        <v>9</v>
      </c>
      <c r="C9" s="932" t="s">
        <v>10</v>
      </c>
      <c r="D9" s="933" t="s">
        <v>16</v>
      </c>
      <c r="E9" s="934">
        <v>2356</v>
      </c>
      <c r="F9" s="935">
        <v>4344.12</v>
      </c>
      <c r="G9" s="934">
        <f t="shared" si="0"/>
        <v>1988.12</v>
      </c>
      <c r="H9" s="936">
        <f t="shared" si="1"/>
        <v>0.5423422925701868</v>
      </c>
    </row>
    <row r="10" spans="1:8" ht="15" customHeight="1">
      <c r="A10" s="931">
        <v>7</v>
      </c>
      <c r="B10" s="931" t="s">
        <v>9</v>
      </c>
      <c r="C10" s="932" t="s">
        <v>10</v>
      </c>
      <c r="D10" s="933" t="s">
        <v>17</v>
      </c>
      <c r="E10" s="934">
        <v>4025</v>
      </c>
      <c r="F10" s="935">
        <v>7048</v>
      </c>
      <c r="G10" s="934">
        <f t="shared" si="0"/>
        <v>3023</v>
      </c>
      <c r="H10" s="936">
        <f t="shared" si="1"/>
        <v>0.5710839954597049</v>
      </c>
    </row>
    <row r="11" spans="1:8" ht="15" customHeight="1">
      <c r="A11" s="931">
        <v>8</v>
      </c>
      <c r="B11" s="931" t="s">
        <v>9</v>
      </c>
      <c r="C11" s="932" t="s">
        <v>10</v>
      </c>
      <c r="D11" s="937" t="s">
        <v>18</v>
      </c>
      <c r="E11" s="934">
        <v>3696</v>
      </c>
      <c r="F11" s="935">
        <v>7048</v>
      </c>
      <c r="G11" s="934">
        <f t="shared" si="0"/>
        <v>3352</v>
      </c>
      <c r="H11" s="936">
        <f t="shared" si="1"/>
        <v>0.5244040862656073</v>
      </c>
    </row>
    <row r="12" spans="1:8" ht="15" customHeight="1">
      <c r="A12" s="931">
        <v>9</v>
      </c>
      <c r="B12" s="931" t="s">
        <v>9</v>
      </c>
      <c r="C12" s="932" t="s">
        <v>10</v>
      </c>
      <c r="D12" s="937" t="s">
        <v>19</v>
      </c>
      <c r="E12" s="934">
        <v>2156</v>
      </c>
      <c r="F12" s="935">
        <v>4344.12</v>
      </c>
      <c r="G12" s="934">
        <f t="shared" si="0"/>
        <v>2188.12</v>
      </c>
      <c r="H12" s="936">
        <f t="shared" si="1"/>
        <v>0.4963030487187279</v>
      </c>
    </row>
    <row r="13" spans="1:8" ht="15" customHeight="1">
      <c r="A13" s="931">
        <v>10</v>
      </c>
      <c r="B13" s="931" t="s">
        <v>9</v>
      </c>
      <c r="C13" s="932" t="s">
        <v>10</v>
      </c>
      <c r="D13" s="937" t="s">
        <v>20</v>
      </c>
      <c r="E13" s="934">
        <v>3806</v>
      </c>
      <c r="F13" s="935">
        <v>6006.075</v>
      </c>
      <c r="G13" s="934">
        <f t="shared" si="0"/>
        <v>2200.075</v>
      </c>
      <c r="H13" s="936">
        <f t="shared" si="1"/>
        <v>0.6336917204663611</v>
      </c>
    </row>
    <row r="14" spans="1:8" ht="15" customHeight="1">
      <c r="A14" s="931">
        <v>11</v>
      </c>
      <c r="B14" s="931" t="s">
        <v>9</v>
      </c>
      <c r="C14" s="932" t="s">
        <v>10</v>
      </c>
      <c r="D14" s="937" t="s">
        <v>90</v>
      </c>
      <c r="E14" s="934">
        <v>2471</v>
      </c>
      <c r="F14" s="935">
        <v>4344.12</v>
      </c>
      <c r="G14" s="934">
        <f t="shared" si="0"/>
        <v>1873.12</v>
      </c>
      <c r="H14" s="936">
        <f t="shared" si="1"/>
        <v>0.5688148577847758</v>
      </c>
    </row>
    <row r="15" spans="1:8" ht="15" customHeight="1">
      <c r="A15" s="931">
        <v>12</v>
      </c>
      <c r="B15" s="931" t="s">
        <v>9</v>
      </c>
      <c r="C15" s="932" t="s">
        <v>10</v>
      </c>
      <c r="D15" s="937" t="s">
        <v>91</v>
      </c>
      <c r="E15" s="934">
        <v>1347</v>
      </c>
      <c r="F15" s="935">
        <v>4344.12</v>
      </c>
      <c r="G15" s="934">
        <f t="shared" si="0"/>
        <v>2997.12</v>
      </c>
      <c r="H15" s="936">
        <f t="shared" si="1"/>
        <v>0.31007430733957625</v>
      </c>
    </row>
    <row r="16" spans="1:8" ht="15" customHeight="1">
      <c r="A16" s="931">
        <v>13</v>
      </c>
      <c r="B16" s="931" t="s">
        <v>9</v>
      </c>
      <c r="C16" s="932" t="s">
        <v>21</v>
      </c>
      <c r="D16" s="937" t="s">
        <v>22</v>
      </c>
      <c r="E16" s="934">
        <v>876</v>
      </c>
      <c r="F16" s="935">
        <v>3504.915</v>
      </c>
      <c r="G16" s="934">
        <f aca="true" t="shared" si="2" ref="G16:G74">F16-E16</f>
        <v>2628.915</v>
      </c>
      <c r="H16" s="936">
        <f aca="true" t="shared" si="3" ref="H16:H74">E16/F16</f>
        <v>0.24993473450854015</v>
      </c>
    </row>
    <row r="17" spans="1:8" ht="15" customHeight="1">
      <c r="A17" s="931">
        <v>14</v>
      </c>
      <c r="B17" s="931" t="s">
        <v>9</v>
      </c>
      <c r="C17" s="932" t="s">
        <v>21</v>
      </c>
      <c r="D17" s="937" t="s">
        <v>23</v>
      </c>
      <c r="E17" s="934">
        <v>536</v>
      </c>
      <c r="F17" s="935">
        <v>3504.915</v>
      </c>
      <c r="G17" s="934">
        <f t="shared" si="2"/>
        <v>2968.915</v>
      </c>
      <c r="H17" s="936">
        <f t="shared" si="3"/>
        <v>0.15292810239335333</v>
      </c>
    </row>
    <row r="18" spans="1:8" ht="15" customHeight="1">
      <c r="A18" s="931">
        <v>15</v>
      </c>
      <c r="B18" s="931" t="s">
        <v>9</v>
      </c>
      <c r="C18" s="932" t="s">
        <v>24</v>
      </c>
      <c r="D18" s="933" t="s">
        <v>25</v>
      </c>
      <c r="E18" s="934">
        <v>5368</v>
      </c>
      <c r="F18" s="935">
        <v>9691.995</v>
      </c>
      <c r="G18" s="934">
        <f t="shared" si="2"/>
        <v>4323.995000000001</v>
      </c>
      <c r="H18" s="936">
        <f t="shared" si="3"/>
        <v>0.5538591383920441</v>
      </c>
    </row>
    <row r="19" spans="1:8" ht="15" customHeight="1">
      <c r="A19" s="931">
        <v>16</v>
      </c>
      <c r="B19" s="931" t="s">
        <v>9</v>
      </c>
      <c r="C19" s="932" t="s">
        <v>24</v>
      </c>
      <c r="D19" s="933" t="s">
        <v>26</v>
      </c>
      <c r="E19" s="934">
        <v>56</v>
      </c>
      <c r="F19" s="935">
        <v>9691.995</v>
      </c>
      <c r="G19" s="934">
        <f t="shared" si="2"/>
        <v>9635.995</v>
      </c>
      <c r="H19" s="936">
        <f t="shared" si="3"/>
        <v>0.005777964185908061</v>
      </c>
    </row>
    <row r="20" spans="1:8" ht="15" customHeight="1">
      <c r="A20" s="931">
        <v>17</v>
      </c>
      <c r="B20" s="931" t="s">
        <v>9</v>
      </c>
      <c r="C20" s="932" t="s">
        <v>24</v>
      </c>
      <c r="D20" s="933" t="s">
        <v>27</v>
      </c>
      <c r="E20" s="934">
        <v>436</v>
      </c>
      <c r="F20" s="935">
        <v>9691.995</v>
      </c>
      <c r="G20" s="934">
        <f t="shared" si="2"/>
        <v>9255.995</v>
      </c>
      <c r="H20" s="936">
        <f t="shared" si="3"/>
        <v>0.0449855783045699</v>
      </c>
    </row>
    <row r="21" spans="1:8" ht="15" customHeight="1">
      <c r="A21" s="931">
        <v>18</v>
      </c>
      <c r="B21" s="931" t="s">
        <v>9</v>
      </c>
      <c r="C21" s="932" t="s">
        <v>24</v>
      </c>
      <c r="D21" s="933" t="s">
        <v>28</v>
      </c>
      <c r="E21" s="934">
        <v>56</v>
      </c>
      <c r="F21" s="935">
        <v>9691.995</v>
      </c>
      <c r="G21" s="934">
        <f t="shared" si="2"/>
        <v>9635.995</v>
      </c>
      <c r="H21" s="936">
        <f t="shared" si="3"/>
        <v>0.005777964185908061</v>
      </c>
    </row>
    <row r="22" spans="1:8" ht="15" customHeight="1">
      <c r="A22" s="931">
        <v>19</v>
      </c>
      <c r="B22" s="931" t="s">
        <v>9</v>
      </c>
      <c r="C22" s="932" t="s">
        <v>24</v>
      </c>
      <c r="D22" s="933" t="s">
        <v>29</v>
      </c>
      <c r="E22" s="934">
        <v>1056</v>
      </c>
      <c r="F22" s="935">
        <v>4344.12</v>
      </c>
      <c r="G22" s="934">
        <f t="shared" si="2"/>
        <v>3288.12</v>
      </c>
      <c r="H22" s="936">
        <f t="shared" si="3"/>
        <v>0.24308720753570345</v>
      </c>
    </row>
    <row r="23" spans="1:8" ht="15" customHeight="1">
      <c r="A23" s="931">
        <v>20</v>
      </c>
      <c r="B23" s="931" t="s">
        <v>9</v>
      </c>
      <c r="C23" s="932" t="s">
        <v>24</v>
      </c>
      <c r="D23" s="933" t="s">
        <v>30</v>
      </c>
      <c r="E23" s="934">
        <v>1152</v>
      </c>
      <c r="F23" s="935">
        <v>4344.12</v>
      </c>
      <c r="G23" s="934">
        <f t="shared" si="2"/>
        <v>3192.12</v>
      </c>
      <c r="H23" s="936">
        <f t="shared" si="3"/>
        <v>0.26518604458440376</v>
      </c>
    </row>
    <row r="24" spans="1:8" ht="15" customHeight="1">
      <c r="A24" s="931">
        <v>21</v>
      </c>
      <c r="B24" s="931" t="s">
        <v>9</v>
      </c>
      <c r="C24" s="932" t="s">
        <v>31</v>
      </c>
      <c r="D24" s="933" t="s">
        <v>32</v>
      </c>
      <c r="E24" s="934">
        <v>56</v>
      </c>
      <c r="F24" s="935">
        <v>4344.12</v>
      </c>
      <c r="G24" s="934">
        <f t="shared" si="2"/>
        <v>4288.12</v>
      </c>
      <c r="H24" s="936">
        <f t="shared" si="3"/>
        <v>0.012890988278408516</v>
      </c>
    </row>
    <row r="25" spans="1:8" ht="15" customHeight="1">
      <c r="A25" s="931">
        <v>22</v>
      </c>
      <c r="B25" s="931" t="s">
        <v>9</v>
      </c>
      <c r="C25" s="932" t="s">
        <v>31</v>
      </c>
      <c r="D25" s="933" t="s">
        <v>33</v>
      </c>
      <c r="E25" s="934">
        <v>56</v>
      </c>
      <c r="F25" s="935">
        <v>4344.12</v>
      </c>
      <c r="G25" s="934">
        <f t="shared" si="2"/>
        <v>4288.12</v>
      </c>
      <c r="H25" s="936">
        <f t="shared" si="3"/>
        <v>0.012890988278408516</v>
      </c>
    </row>
    <row r="26" spans="1:8" ht="15" customHeight="1">
      <c r="A26" s="931">
        <v>23</v>
      </c>
      <c r="B26" s="931" t="s">
        <v>9</v>
      </c>
      <c r="C26" s="932" t="s">
        <v>31</v>
      </c>
      <c r="D26" s="933" t="s">
        <v>34</v>
      </c>
      <c r="E26" s="934">
        <v>3656</v>
      </c>
      <c r="F26" s="935">
        <v>9691.995</v>
      </c>
      <c r="G26" s="934">
        <f t="shared" si="2"/>
        <v>6035.995000000001</v>
      </c>
      <c r="H26" s="936">
        <f t="shared" si="3"/>
        <v>0.3772185189942834</v>
      </c>
    </row>
    <row r="27" spans="1:8" ht="15" customHeight="1">
      <c r="A27" s="931">
        <v>24</v>
      </c>
      <c r="B27" s="931" t="s">
        <v>9</v>
      </c>
      <c r="C27" s="932" t="s">
        <v>31</v>
      </c>
      <c r="D27" s="933" t="s">
        <v>35</v>
      </c>
      <c r="E27" s="934">
        <v>786</v>
      </c>
      <c r="F27" s="935">
        <v>9691.995</v>
      </c>
      <c r="G27" s="934">
        <f t="shared" si="2"/>
        <v>8905.995</v>
      </c>
      <c r="H27" s="936">
        <f t="shared" si="3"/>
        <v>0.08109785446649528</v>
      </c>
    </row>
    <row r="28" spans="1:8" ht="15" customHeight="1">
      <c r="A28" s="931">
        <v>25</v>
      </c>
      <c r="B28" s="931" t="s">
        <v>9</v>
      </c>
      <c r="C28" s="932" t="s">
        <v>31</v>
      </c>
      <c r="D28" s="933" t="s">
        <v>36</v>
      </c>
      <c r="E28" s="934">
        <v>886</v>
      </c>
      <c r="F28" s="935">
        <v>4344.12</v>
      </c>
      <c r="G28" s="934">
        <f t="shared" si="2"/>
        <v>3458.12</v>
      </c>
      <c r="H28" s="936">
        <f t="shared" si="3"/>
        <v>0.2039538502619633</v>
      </c>
    </row>
    <row r="29" spans="1:8" ht="15" customHeight="1">
      <c r="A29" s="931">
        <v>26</v>
      </c>
      <c r="B29" s="931" t="s">
        <v>9</v>
      </c>
      <c r="C29" s="932" t="s">
        <v>37</v>
      </c>
      <c r="D29" s="937" t="s">
        <v>38</v>
      </c>
      <c r="E29" s="934">
        <v>2456</v>
      </c>
      <c r="F29" s="935">
        <v>4344.12</v>
      </c>
      <c r="G29" s="934">
        <f t="shared" si="2"/>
        <v>1888.12</v>
      </c>
      <c r="H29" s="936">
        <f t="shared" si="3"/>
        <v>0.5653619144959163</v>
      </c>
    </row>
    <row r="30" spans="1:8" ht="15" customHeight="1">
      <c r="A30" s="931">
        <v>27</v>
      </c>
      <c r="B30" s="931" t="s">
        <v>9</v>
      </c>
      <c r="C30" s="932" t="s">
        <v>37</v>
      </c>
      <c r="D30" s="937" t="s">
        <v>39</v>
      </c>
      <c r="E30" s="934">
        <v>985</v>
      </c>
      <c r="F30" s="935">
        <v>3504.915</v>
      </c>
      <c r="G30" s="934">
        <f t="shared" si="2"/>
        <v>2519.915</v>
      </c>
      <c r="H30" s="936">
        <f t="shared" si="3"/>
        <v>0.2810339195101736</v>
      </c>
    </row>
    <row r="31" spans="1:8" ht="15" customHeight="1">
      <c r="A31" s="931">
        <v>28</v>
      </c>
      <c r="B31" s="931" t="s">
        <v>9</v>
      </c>
      <c r="C31" s="932" t="s">
        <v>37</v>
      </c>
      <c r="D31" s="937" t="s">
        <v>40</v>
      </c>
      <c r="E31" s="934">
        <v>586</v>
      </c>
      <c r="F31" s="935">
        <v>5298.51</v>
      </c>
      <c r="G31" s="934">
        <f t="shared" si="2"/>
        <v>4712.51</v>
      </c>
      <c r="H31" s="936">
        <f t="shared" si="3"/>
        <v>0.11059713013658556</v>
      </c>
    </row>
    <row r="32" spans="1:8" ht="15" customHeight="1">
      <c r="A32" s="931">
        <v>29</v>
      </c>
      <c r="B32" s="931" t="s">
        <v>9</v>
      </c>
      <c r="C32" s="932" t="s">
        <v>37</v>
      </c>
      <c r="D32" s="937" t="s">
        <v>41</v>
      </c>
      <c r="E32" s="934">
        <v>486</v>
      </c>
      <c r="F32" s="935">
        <v>6006.075</v>
      </c>
      <c r="G32" s="934">
        <f t="shared" si="2"/>
        <v>5520.075</v>
      </c>
      <c r="H32" s="936">
        <f t="shared" si="3"/>
        <v>0.08091807045366567</v>
      </c>
    </row>
    <row r="33" spans="1:8" ht="15" customHeight="1">
      <c r="A33" s="931">
        <v>30</v>
      </c>
      <c r="B33" s="931" t="s">
        <v>9</v>
      </c>
      <c r="C33" s="932" t="s">
        <v>42</v>
      </c>
      <c r="D33" s="937" t="s">
        <v>43</v>
      </c>
      <c r="E33" s="934">
        <v>776</v>
      </c>
      <c r="F33" s="935">
        <v>4344.12</v>
      </c>
      <c r="G33" s="934">
        <f t="shared" si="2"/>
        <v>3568.12</v>
      </c>
      <c r="H33" s="936">
        <f t="shared" si="3"/>
        <v>0.17863226614366087</v>
      </c>
    </row>
    <row r="34" spans="1:8" ht="15" customHeight="1">
      <c r="A34" s="931">
        <v>31</v>
      </c>
      <c r="B34" s="931" t="s">
        <v>9</v>
      </c>
      <c r="C34" s="932" t="s">
        <v>42</v>
      </c>
      <c r="D34" s="937" t="s">
        <v>44</v>
      </c>
      <c r="E34" s="934">
        <v>1971</v>
      </c>
      <c r="F34" s="935">
        <v>3504.915</v>
      </c>
      <c r="G34" s="934">
        <f t="shared" si="2"/>
        <v>1533.915</v>
      </c>
      <c r="H34" s="936">
        <f t="shared" si="3"/>
        <v>0.5623531526442154</v>
      </c>
    </row>
    <row r="35" spans="1:8" ht="15" customHeight="1">
      <c r="A35" s="931">
        <v>32</v>
      </c>
      <c r="B35" s="931" t="s">
        <v>9</v>
      </c>
      <c r="C35" s="932" t="s">
        <v>42</v>
      </c>
      <c r="D35" s="937" t="s">
        <v>45</v>
      </c>
      <c r="E35" s="934">
        <v>3566</v>
      </c>
      <c r="F35" s="935">
        <v>6006.075</v>
      </c>
      <c r="G35" s="934">
        <f t="shared" si="2"/>
        <v>2440.075</v>
      </c>
      <c r="H35" s="936">
        <f t="shared" si="3"/>
        <v>0.593732179501588</v>
      </c>
    </row>
    <row r="36" spans="1:8" ht="15" customHeight="1">
      <c r="A36" s="931">
        <v>33</v>
      </c>
      <c r="B36" s="931" t="s">
        <v>9</v>
      </c>
      <c r="C36" s="932" t="s">
        <v>42</v>
      </c>
      <c r="D36" s="937" t="s">
        <v>46</v>
      </c>
      <c r="E36" s="934">
        <v>1656</v>
      </c>
      <c r="F36" s="935">
        <v>4344.12</v>
      </c>
      <c r="G36" s="934">
        <f t="shared" si="2"/>
        <v>2688.12</v>
      </c>
      <c r="H36" s="936">
        <f t="shared" si="3"/>
        <v>0.3812049390900804</v>
      </c>
    </row>
    <row r="37" spans="1:8" ht="15" customHeight="1">
      <c r="A37" s="931">
        <v>34</v>
      </c>
      <c r="B37" s="931" t="s">
        <v>9</v>
      </c>
      <c r="C37" s="932" t="s">
        <v>42</v>
      </c>
      <c r="D37" s="937" t="s">
        <v>47</v>
      </c>
      <c r="E37" s="934">
        <v>1956</v>
      </c>
      <c r="F37" s="935">
        <v>5298.51</v>
      </c>
      <c r="G37" s="934">
        <f t="shared" si="2"/>
        <v>3342.51</v>
      </c>
      <c r="H37" s="936">
        <f t="shared" si="3"/>
        <v>0.3691603865992515</v>
      </c>
    </row>
    <row r="38" spans="1:8" ht="15" customHeight="1">
      <c r="A38" s="931">
        <v>35</v>
      </c>
      <c r="B38" s="931" t="s">
        <v>9</v>
      </c>
      <c r="C38" s="932" t="s">
        <v>42</v>
      </c>
      <c r="D38" s="937" t="s">
        <v>48</v>
      </c>
      <c r="E38" s="934">
        <v>3056</v>
      </c>
      <c r="F38" s="935">
        <v>7042.74</v>
      </c>
      <c r="G38" s="934">
        <f t="shared" si="2"/>
        <v>3986.74</v>
      </c>
      <c r="H38" s="936">
        <f t="shared" si="3"/>
        <v>0.43392202466653607</v>
      </c>
    </row>
    <row r="39" spans="1:8" ht="15" customHeight="1">
      <c r="A39" s="931">
        <v>36</v>
      </c>
      <c r="B39" s="931" t="s">
        <v>9</v>
      </c>
      <c r="C39" s="932" t="s">
        <v>42</v>
      </c>
      <c r="D39" s="937" t="s">
        <v>49</v>
      </c>
      <c r="E39" s="934">
        <v>2556</v>
      </c>
      <c r="F39" s="935">
        <v>4344.12</v>
      </c>
      <c r="G39" s="934">
        <f t="shared" si="2"/>
        <v>1788.12</v>
      </c>
      <c r="H39" s="936">
        <f t="shared" si="3"/>
        <v>0.5883815364216458</v>
      </c>
    </row>
    <row r="40" spans="1:8" ht="15" customHeight="1">
      <c r="A40" s="931">
        <v>37</v>
      </c>
      <c r="B40" s="931" t="s">
        <v>9</v>
      </c>
      <c r="C40" s="932" t="s">
        <v>42</v>
      </c>
      <c r="D40" s="937" t="s">
        <v>50</v>
      </c>
      <c r="E40" s="934">
        <v>2956</v>
      </c>
      <c r="F40" s="935">
        <v>5298.51</v>
      </c>
      <c r="G40" s="934">
        <f t="shared" si="2"/>
        <v>2342.51</v>
      </c>
      <c r="H40" s="936">
        <f t="shared" si="3"/>
        <v>0.5578926905865988</v>
      </c>
    </row>
    <row r="41" spans="1:8" ht="15" customHeight="1">
      <c r="A41" s="931">
        <v>38</v>
      </c>
      <c r="B41" s="931" t="s">
        <v>9</v>
      </c>
      <c r="C41" s="932" t="s">
        <v>42</v>
      </c>
      <c r="D41" s="937" t="s">
        <v>51</v>
      </c>
      <c r="E41" s="934">
        <v>3070</v>
      </c>
      <c r="F41" s="935">
        <v>5298.51</v>
      </c>
      <c r="G41" s="934">
        <f t="shared" si="2"/>
        <v>2228.51</v>
      </c>
      <c r="H41" s="936">
        <f t="shared" si="3"/>
        <v>0.5794081732411565</v>
      </c>
    </row>
    <row r="42" spans="1:8" ht="15" customHeight="1">
      <c r="A42" s="931">
        <v>39</v>
      </c>
      <c r="B42" s="931" t="s">
        <v>9</v>
      </c>
      <c r="C42" s="932" t="s">
        <v>52</v>
      </c>
      <c r="D42" s="937" t="s">
        <v>53</v>
      </c>
      <c r="E42" s="934">
        <v>916</v>
      </c>
      <c r="F42" s="935">
        <v>3504.915</v>
      </c>
      <c r="G42" s="934">
        <f t="shared" si="2"/>
        <v>2588.915</v>
      </c>
      <c r="H42" s="936">
        <f t="shared" si="3"/>
        <v>0.261347279463268</v>
      </c>
    </row>
    <row r="43" spans="1:8" ht="15" customHeight="1">
      <c r="A43" s="931">
        <v>40</v>
      </c>
      <c r="B43" s="931" t="s">
        <v>9</v>
      </c>
      <c r="C43" s="932" t="s">
        <v>52</v>
      </c>
      <c r="D43" s="937" t="s">
        <v>54</v>
      </c>
      <c r="E43" s="934">
        <v>686</v>
      </c>
      <c r="F43" s="935">
        <v>3504.915</v>
      </c>
      <c r="G43" s="934">
        <f t="shared" si="2"/>
        <v>2818.915</v>
      </c>
      <c r="H43" s="936">
        <f t="shared" si="3"/>
        <v>0.19572514597358281</v>
      </c>
    </row>
    <row r="44" spans="1:8" ht="15" customHeight="1">
      <c r="A44" s="931">
        <v>41</v>
      </c>
      <c r="B44" s="931" t="s">
        <v>9</v>
      </c>
      <c r="C44" s="932" t="s">
        <v>52</v>
      </c>
      <c r="D44" s="937" t="s">
        <v>55</v>
      </c>
      <c r="E44" s="934">
        <v>1070</v>
      </c>
      <c r="F44" s="935">
        <v>4344.12</v>
      </c>
      <c r="G44" s="934">
        <f t="shared" si="2"/>
        <v>3274.12</v>
      </c>
      <c r="H44" s="936">
        <f t="shared" si="3"/>
        <v>0.24630995460530558</v>
      </c>
    </row>
    <row r="45" spans="1:8" ht="15" customHeight="1">
      <c r="A45" s="931">
        <v>42</v>
      </c>
      <c r="B45" s="931" t="s">
        <v>9</v>
      </c>
      <c r="C45" s="932" t="s">
        <v>56</v>
      </c>
      <c r="D45" s="937" t="s">
        <v>57</v>
      </c>
      <c r="E45" s="934">
        <v>1956</v>
      </c>
      <c r="F45" s="935">
        <v>3504.915</v>
      </c>
      <c r="G45" s="934">
        <f t="shared" si="2"/>
        <v>1548.915</v>
      </c>
      <c r="H45" s="936">
        <f t="shared" si="3"/>
        <v>0.5580734482861924</v>
      </c>
    </row>
    <row r="46" spans="1:8" ht="15" customHeight="1">
      <c r="A46" s="931">
        <v>43</v>
      </c>
      <c r="B46" s="931" t="s">
        <v>9</v>
      </c>
      <c r="C46" s="932" t="s">
        <v>56</v>
      </c>
      <c r="D46" s="937" t="s">
        <v>58</v>
      </c>
      <c r="E46" s="934">
        <v>776</v>
      </c>
      <c r="F46" s="935">
        <v>3504.915</v>
      </c>
      <c r="G46" s="934">
        <f t="shared" si="2"/>
        <v>2728.915</v>
      </c>
      <c r="H46" s="936">
        <f t="shared" si="3"/>
        <v>0.2214033721217205</v>
      </c>
    </row>
    <row r="47" spans="1:8" ht="15" customHeight="1">
      <c r="A47" s="931">
        <v>44</v>
      </c>
      <c r="B47" s="931" t="s">
        <v>9</v>
      </c>
      <c r="C47" s="932" t="s">
        <v>56</v>
      </c>
      <c r="D47" s="937" t="s">
        <v>59</v>
      </c>
      <c r="E47" s="934">
        <v>56</v>
      </c>
      <c r="F47" s="935">
        <v>7042.74</v>
      </c>
      <c r="G47" s="934">
        <f t="shared" si="2"/>
        <v>6986.74</v>
      </c>
      <c r="H47" s="936">
        <f t="shared" si="3"/>
        <v>0.007951450713784692</v>
      </c>
    </row>
    <row r="48" spans="1:8" ht="15" customHeight="1">
      <c r="A48" s="931">
        <v>45</v>
      </c>
      <c r="B48" s="931" t="s">
        <v>9</v>
      </c>
      <c r="C48" s="932" t="s">
        <v>56</v>
      </c>
      <c r="D48" s="937" t="s">
        <v>92</v>
      </c>
      <c r="E48" s="934">
        <v>5678</v>
      </c>
      <c r="F48" s="935">
        <v>7042.74</v>
      </c>
      <c r="G48" s="934">
        <f t="shared" si="2"/>
        <v>1364.7399999999998</v>
      </c>
      <c r="H48" s="936">
        <f t="shared" si="3"/>
        <v>0.8062203063012408</v>
      </c>
    </row>
    <row r="49" spans="1:8" ht="15" customHeight="1">
      <c r="A49" s="931">
        <v>46</v>
      </c>
      <c r="B49" s="931" t="s">
        <v>9</v>
      </c>
      <c r="C49" s="932" t="s">
        <v>56</v>
      </c>
      <c r="D49" s="937" t="s">
        <v>60</v>
      </c>
      <c r="E49" s="934">
        <v>736</v>
      </c>
      <c r="F49" s="935">
        <v>3504.915</v>
      </c>
      <c r="G49" s="934">
        <f t="shared" si="2"/>
        <v>2768.915</v>
      </c>
      <c r="H49" s="936">
        <f t="shared" si="3"/>
        <v>0.20999082716699263</v>
      </c>
    </row>
    <row r="50" spans="1:8" ht="15" customHeight="1">
      <c r="A50" s="931">
        <v>47</v>
      </c>
      <c r="B50" s="931" t="s">
        <v>9</v>
      </c>
      <c r="C50" s="932" t="s">
        <v>61</v>
      </c>
      <c r="D50" s="937" t="s">
        <v>62</v>
      </c>
      <c r="E50" s="934">
        <v>1456</v>
      </c>
      <c r="F50" s="935">
        <v>5298.51</v>
      </c>
      <c r="G50" s="934">
        <f t="shared" si="2"/>
        <v>3842.51</v>
      </c>
      <c r="H50" s="936">
        <f t="shared" si="3"/>
        <v>0.2747942346055778</v>
      </c>
    </row>
    <row r="51" spans="1:8" ht="15" customHeight="1">
      <c r="A51" s="931">
        <v>48</v>
      </c>
      <c r="B51" s="931" t="s">
        <v>9</v>
      </c>
      <c r="C51" s="932" t="s">
        <v>61</v>
      </c>
      <c r="D51" s="937" t="s">
        <v>63</v>
      </c>
      <c r="E51" s="934">
        <v>1356</v>
      </c>
      <c r="F51" s="935">
        <v>3504.915</v>
      </c>
      <c r="G51" s="934">
        <f t="shared" si="2"/>
        <v>2148.915</v>
      </c>
      <c r="H51" s="936">
        <f t="shared" si="3"/>
        <v>0.3868852739652745</v>
      </c>
    </row>
    <row r="52" spans="1:8" ht="15" customHeight="1">
      <c r="A52" s="931">
        <v>49</v>
      </c>
      <c r="B52" s="931" t="s">
        <v>9</v>
      </c>
      <c r="C52" s="932" t="s">
        <v>61</v>
      </c>
      <c r="D52" s="937" t="s">
        <v>64</v>
      </c>
      <c r="E52" s="934">
        <v>1356</v>
      </c>
      <c r="F52" s="935">
        <v>5298.51</v>
      </c>
      <c r="G52" s="934">
        <f t="shared" si="2"/>
        <v>3942.51</v>
      </c>
      <c r="H52" s="936">
        <f t="shared" si="3"/>
        <v>0.25592100420684305</v>
      </c>
    </row>
    <row r="53" spans="1:8" ht="15" customHeight="1">
      <c r="A53" s="931">
        <v>50</v>
      </c>
      <c r="B53" s="931" t="s">
        <v>9</v>
      </c>
      <c r="C53" s="932" t="s">
        <v>61</v>
      </c>
      <c r="D53" s="937" t="s">
        <v>65</v>
      </c>
      <c r="E53" s="934">
        <v>2067</v>
      </c>
      <c r="F53" s="935">
        <v>3504.915</v>
      </c>
      <c r="G53" s="934">
        <f t="shared" si="2"/>
        <v>1437.915</v>
      </c>
      <c r="H53" s="936">
        <f t="shared" si="3"/>
        <v>0.5897432605355623</v>
      </c>
    </row>
    <row r="54" spans="1:8" ht="15" customHeight="1">
      <c r="A54" s="931">
        <v>51</v>
      </c>
      <c r="B54" s="931" t="s">
        <v>9</v>
      </c>
      <c r="C54" s="932" t="s">
        <v>61</v>
      </c>
      <c r="D54" s="937" t="s">
        <v>66</v>
      </c>
      <c r="E54" s="934">
        <v>3009</v>
      </c>
      <c r="F54" s="935">
        <v>5298.51</v>
      </c>
      <c r="G54" s="934">
        <f t="shared" si="2"/>
        <v>2289.51</v>
      </c>
      <c r="H54" s="936">
        <f t="shared" si="3"/>
        <v>0.5678955026979282</v>
      </c>
    </row>
    <row r="55" spans="1:8" ht="15" customHeight="1">
      <c r="A55" s="931">
        <v>52</v>
      </c>
      <c r="B55" s="931" t="s">
        <v>9</v>
      </c>
      <c r="C55" s="932" t="s">
        <v>67</v>
      </c>
      <c r="D55" s="937" t="s">
        <v>68</v>
      </c>
      <c r="E55" s="934">
        <v>2156</v>
      </c>
      <c r="F55" s="935">
        <v>5298.51</v>
      </c>
      <c r="G55" s="934">
        <f t="shared" si="2"/>
        <v>3142.51</v>
      </c>
      <c r="H55" s="936">
        <f t="shared" si="3"/>
        <v>0.40690684739672095</v>
      </c>
    </row>
    <row r="56" spans="1:8" ht="15" customHeight="1">
      <c r="A56" s="931">
        <v>53</v>
      </c>
      <c r="B56" s="931" t="s">
        <v>9</v>
      </c>
      <c r="C56" s="932" t="s">
        <v>67</v>
      </c>
      <c r="D56" s="937" t="s">
        <v>69</v>
      </c>
      <c r="E56" s="934">
        <v>2656</v>
      </c>
      <c r="F56" s="935">
        <v>7042.74</v>
      </c>
      <c r="G56" s="934">
        <f t="shared" si="2"/>
        <v>4386.74</v>
      </c>
      <c r="H56" s="936">
        <f t="shared" si="3"/>
        <v>0.3771259481395025</v>
      </c>
    </row>
    <row r="57" spans="1:8" ht="15" customHeight="1">
      <c r="A57" s="931">
        <v>54</v>
      </c>
      <c r="B57" s="931" t="s">
        <v>9</v>
      </c>
      <c r="C57" s="932" t="s">
        <v>67</v>
      </c>
      <c r="D57" s="937" t="s">
        <v>70</v>
      </c>
      <c r="E57" s="934">
        <v>56</v>
      </c>
      <c r="F57" s="935">
        <v>6006.075</v>
      </c>
      <c r="G57" s="934">
        <f t="shared" si="2"/>
        <v>5950.075</v>
      </c>
      <c r="H57" s="936">
        <f t="shared" si="3"/>
        <v>0.009323892891780407</v>
      </c>
    </row>
    <row r="58" spans="1:8" ht="15" customHeight="1">
      <c r="A58" s="931">
        <v>55</v>
      </c>
      <c r="B58" s="931" t="s">
        <v>9</v>
      </c>
      <c r="C58" s="932" t="s">
        <v>67</v>
      </c>
      <c r="D58" s="937" t="s">
        <v>71</v>
      </c>
      <c r="E58" s="934">
        <v>1556</v>
      </c>
      <c r="F58" s="935">
        <v>4344.12</v>
      </c>
      <c r="G58" s="934">
        <f t="shared" si="2"/>
        <v>2788.12</v>
      </c>
      <c r="H58" s="936">
        <f t="shared" si="3"/>
        <v>0.3581853171643509</v>
      </c>
    </row>
    <row r="59" spans="1:8" ht="15" customHeight="1">
      <c r="A59" s="931">
        <v>56</v>
      </c>
      <c r="B59" s="931" t="s">
        <v>9</v>
      </c>
      <c r="C59" s="932" t="s">
        <v>67</v>
      </c>
      <c r="D59" s="937" t="s">
        <v>72</v>
      </c>
      <c r="E59" s="934">
        <v>1656</v>
      </c>
      <c r="F59" s="935">
        <v>4344.12</v>
      </c>
      <c r="G59" s="934">
        <f t="shared" si="2"/>
        <v>2688.12</v>
      </c>
      <c r="H59" s="936">
        <f t="shared" si="3"/>
        <v>0.3812049390900804</v>
      </c>
    </row>
    <row r="60" spans="1:8" ht="15" customHeight="1">
      <c r="A60" s="931">
        <v>57</v>
      </c>
      <c r="B60" s="931" t="s">
        <v>9</v>
      </c>
      <c r="C60" s="932" t="s">
        <v>67</v>
      </c>
      <c r="D60" s="937" t="s">
        <v>73</v>
      </c>
      <c r="E60" s="934">
        <v>856</v>
      </c>
      <c r="F60" s="935">
        <v>5298.51</v>
      </c>
      <c r="G60" s="934">
        <f t="shared" si="2"/>
        <v>4442.51</v>
      </c>
      <c r="H60" s="936">
        <f t="shared" si="3"/>
        <v>0.16155485221316937</v>
      </c>
    </row>
    <row r="61" spans="1:8" ht="15" customHeight="1">
      <c r="A61" s="931">
        <v>58</v>
      </c>
      <c r="B61" s="931" t="s">
        <v>9</v>
      </c>
      <c r="C61" s="932" t="s">
        <v>67</v>
      </c>
      <c r="D61" s="937" t="s">
        <v>74</v>
      </c>
      <c r="E61" s="934">
        <v>56</v>
      </c>
      <c r="F61" s="935">
        <v>5298.51</v>
      </c>
      <c r="G61" s="934">
        <f t="shared" si="2"/>
        <v>5242.51</v>
      </c>
      <c r="H61" s="936">
        <f t="shared" si="3"/>
        <v>0.010569009023291453</v>
      </c>
    </row>
    <row r="62" spans="1:8" ht="15" customHeight="1">
      <c r="A62" s="931">
        <v>59</v>
      </c>
      <c r="B62" s="931" t="s">
        <v>9</v>
      </c>
      <c r="C62" s="932" t="s">
        <v>67</v>
      </c>
      <c r="D62" s="937" t="s">
        <v>75</v>
      </c>
      <c r="E62" s="934">
        <v>1956</v>
      </c>
      <c r="F62" s="935">
        <v>7042.74</v>
      </c>
      <c r="G62" s="934">
        <f t="shared" si="2"/>
        <v>5086.74</v>
      </c>
      <c r="H62" s="936">
        <f t="shared" si="3"/>
        <v>0.27773281421719387</v>
      </c>
    </row>
    <row r="63" spans="1:8" ht="15" customHeight="1">
      <c r="A63" s="931">
        <v>60</v>
      </c>
      <c r="B63" s="931" t="s">
        <v>9</v>
      </c>
      <c r="C63" s="932" t="s">
        <v>76</v>
      </c>
      <c r="D63" s="937" t="s">
        <v>77</v>
      </c>
      <c r="E63" s="934">
        <v>846</v>
      </c>
      <c r="F63" s="935">
        <v>3504.915</v>
      </c>
      <c r="G63" s="934">
        <f t="shared" si="2"/>
        <v>2658.915</v>
      </c>
      <c r="H63" s="936">
        <f t="shared" si="3"/>
        <v>0.24137532579249427</v>
      </c>
    </row>
    <row r="64" spans="1:8" ht="15" customHeight="1">
      <c r="A64" s="931">
        <v>61</v>
      </c>
      <c r="B64" s="931" t="s">
        <v>9</v>
      </c>
      <c r="C64" s="932" t="s">
        <v>76</v>
      </c>
      <c r="D64" s="937" t="s">
        <v>78</v>
      </c>
      <c r="E64" s="934">
        <v>1856</v>
      </c>
      <c r="F64" s="935">
        <v>4344.12</v>
      </c>
      <c r="G64" s="934">
        <f t="shared" si="2"/>
        <v>2488.12</v>
      </c>
      <c r="H64" s="936">
        <f t="shared" si="3"/>
        <v>0.4272441829415394</v>
      </c>
    </row>
    <row r="65" spans="1:8" ht="15" customHeight="1">
      <c r="A65" s="931">
        <v>62</v>
      </c>
      <c r="B65" s="931" t="s">
        <v>9</v>
      </c>
      <c r="C65" s="932" t="s">
        <v>76</v>
      </c>
      <c r="D65" s="937" t="s">
        <v>79</v>
      </c>
      <c r="E65" s="934">
        <v>856</v>
      </c>
      <c r="F65" s="935">
        <v>3504.915</v>
      </c>
      <c r="G65" s="934">
        <f t="shared" si="2"/>
        <v>2648.915</v>
      </c>
      <c r="H65" s="936">
        <f t="shared" si="3"/>
        <v>0.24422846203117624</v>
      </c>
    </row>
    <row r="66" spans="1:8" ht="15" customHeight="1">
      <c r="A66" s="931">
        <v>63</v>
      </c>
      <c r="B66" s="931" t="s">
        <v>9</v>
      </c>
      <c r="C66" s="932" t="s">
        <v>76</v>
      </c>
      <c r="D66" s="937" t="s">
        <v>80</v>
      </c>
      <c r="E66" s="934">
        <v>976</v>
      </c>
      <c r="F66" s="935">
        <v>4344.12</v>
      </c>
      <c r="G66" s="934">
        <f t="shared" si="2"/>
        <v>3368.12</v>
      </c>
      <c r="H66" s="936">
        <f t="shared" si="3"/>
        <v>0.22467150999511984</v>
      </c>
    </row>
    <row r="67" spans="1:8" ht="15" customHeight="1">
      <c r="A67" s="931">
        <v>64</v>
      </c>
      <c r="B67" s="931" t="s">
        <v>9</v>
      </c>
      <c r="C67" s="932" t="s">
        <v>76</v>
      </c>
      <c r="D67" s="937" t="s">
        <v>93</v>
      </c>
      <c r="E67" s="934">
        <v>987</v>
      </c>
      <c r="F67" s="935">
        <v>4344.12</v>
      </c>
      <c r="G67" s="934">
        <f t="shared" si="2"/>
        <v>3357.12</v>
      </c>
      <c r="H67" s="936">
        <f t="shared" si="3"/>
        <v>0.22720366840695008</v>
      </c>
    </row>
    <row r="68" spans="1:8" ht="15" customHeight="1">
      <c r="A68" s="931">
        <v>65</v>
      </c>
      <c r="B68" s="931" t="s">
        <v>9</v>
      </c>
      <c r="C68" s="932" t="s">
        <v>76</v>
      </c>
      <c r="D68" s="937" t="s">
        <v>94</v>
      </c>
      <c r="E68" s="934">
        <v>745</v>
      </c>
      <c r="F68" s="935">
        <v>4344.12</v>
      </c>
      <c r="G68" s="934">
        <f t="shared" si="2"/>
        <v>3599.12</v>
      </c>
      <c r="H68" s="936">
        <f t="shared" si="3"/>
        <v>0.1714961833466847</v>
      </c>
    </row>
    <row r="69" spans="1:8" ht="15" customHeight="1">
      <c r="A69" s="931">
        <v>66</v>
      </c>
      <c r="B69" s="931" t="s">
        <v>9</v>
      </c>
      <c r="C69" s="932" t="s">
        <v>81</v>
      </c>
      <c r="D69" s="933" t="s">
        <v>82</v>
      </c>
      <c r="E69" s="934">
        <v>1077</v>
      </c>
      <c r="F69" s="935">
        <v>7042.74</v>
      </c>
      <c r="G69" s="934">
        <f t="shared" si="2"/>
        <v>5965.74</v>
      </c>
      <c r="H69" s="936">
        <f t="shared" si="3"/>
        <v>0.15292343604903774</v>
      </c>
    </row>
    <row r="70" spans="1:8" ht="15" customHeight="1">
      <c r="A70" s="931">
        <v>67</v>
      </c>
      <c r="B70" s="931" t="s">
        <v>9</v>
      </c>
      <c r="C70" s="932" t="s">
        <v>81</v>
      </c>
      <c r="D70" s="933" t="s">
        <v>83</v>
      </c>
      <c r="E70" s="934">
        <v>2506</v>
      </c>
      <c r="F70" s="935">
        <v>7042.74</v>
      </c>
      <c r="G70" s="934">
        <f t="shared" si="2"/>
        <v>4536.74</v>
      </c>
      <c r="H70" s="936">
        <f t="shared" si="3"/>
        <v>0.35582741944186497</v>
      </c>
    </row>
    <row r="71" spans="1:8" ht="15" customHeight="1">
      <c r="A71" s="931">
        <v>68</v>
      </c>
      <c r="B71" s="931" t="s">
        <v>9</v>
      </c>
      <c r="C71" s="932" t="s">
        <v>81</v>
      </c>
      <c r="D71" s="933" t="s">
        <v>84</v>
      </c>
      <c r="E71" s="934">
        <v>2203</v>
      </c>
      <c r="F71" s="935">
        <v>4344.12</v>
      </c>
      <c r="G71" s="934">
        <f t="shared" si="2"/>
        <v>2141.12</v>
      </c>
      <c r="H71" s="936">
        <f t="shared" si="3"/>
        <v>0.5071222710238207</v>
      </c>
    </row>
    <row r="72" spans="1:8" ht="15" customHeight="1">
      <c r="A72" s="931">
        <v>69</v>
      </c>
      <c r="B72" s="931" t="s">
        <v>9</v>
      </c>
      <c r="C72" s="932" t="s">
        <v>81</v>
      </c>
      <c r="D72" s="933" t="s">
        <v>85</v>
      </c>
      <c r="E72" s="934">
        <v>1260</v>
      </c>
      <c r="F72" s="935">
        <v>4344.12</v>
      </c>
      <c r="G72" s="934">
        <f t="shared" si="2"/>
        <v>3084.12</v>
      </c>
      <c r="H72" s="936">
        <f t="shared" si="3"/>
        <v>0.2900472362641916</v>
      </c>
    </row>
    <row r="73" spans="1:8" ht="15" customHeight="1">
      <c r="A73" s="931">
        <v>70</v>
      </c>
      <c r="B73" s="931" t="s">
        <v>9</v>
      </c>
      <c r="C73" s="932" t="s">
        <v>81</v>
      </c>
      <c r="D73" s="933" t="s">
        <v>86</v>
      </c>
      <c r="E73" s="934">
        <v>1303</v>
      </c>
      <c r="F73" s="935">
        <v>4344.12</v>
      </c>
      <c r="G73" s="934">
        <f t="shared" si="2"/>
        <v>3041.12</v>
      </c>
      <c r="H73" s="936">
        <f t="shared" si="3"/>
        <v>0.2999456736922553</v>
      </c>
    </row>
    <row r="74" spans="1:8" ht="15" customHeight="1">
      <c r="A74" s="931">
        <v>71</v>
      </c>
      <c r="B74" s="931" t="s">
        <v>9</v>
      </c>
      <c r="C74" s="932" t="s">
        <v>81</v>
      </c>
      <c r="D74" s="933" t="s">
        <v>87</v>
      </c>
      <c r="E74" s="934">
        <v>1531</v>
      </c>
      <c r="F74" s="935">
        <v>7042.74</v>
      </c>
      <c r="G74" s="934">
        <f t="shared" si="2"/>
        <v>5511.74</v>
      </c>
      <c r="H74" s="936">
        <f t="shared" si="3"/>
        <v>0.21738698290722078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506944444444445" right="0.4722222222222222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L1">
      <selection activeCell="A1" sqref="A1:AE1"/>
    </sheetView>
  </sheetViews>
  <sheetFormatPr defaultColWidth="9.00390625" defaultRowHeight="14.25"/>
  <cols>
    <col min="1" max="28" width="9.00390625" style="294" customWidth="1"/>
    <col min="29" max="29" width="12.125" style="294" customWidth="1"/>
    <col min="30" max="16384" width="9.00390625" style="294" customWidth="1"/>
  </cols>
  <sheetData>
    <row r="1" spans="1:30" ht="21">
      <c r="A1" s="358" t="s">
        <v>97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</row>
    <row r="2" spans="1:30" ht="15">
      <c r="A2" s="360" t="s">
        <v>826</v>
      </c>
      <c r="B2" s="360"/>
      <c r="C2" s="360"/>
      <c r="D2" s="359"/>
      <c r="E2" s="360"/>
      <c r="F2" s="359"/>
      <c r="G2" s="359"/>
      <c r="H2" s="359"/>
      <c r="I2" s="360"/>
      <c r="J2" s="360"/>
      <c r="K2" s="360"/>
      <c r="L2" s="359"/>
      <c r="M2" s="360"/>
      <c r="N2" s="360"/>
      <c r="O2" s="360"/>
      <c r="P2" s="360"/>
      <c r="Q2" s="360"/>
      <c r="R2" s="359"/>
      <c r="S2" s="360"/>
      <c r="T2" s="360"/>
      <c r="U2" s="360"/>
      <c r="V2" s="360" t="s">
        <v>827</v>
      </c>
      <c r="W2" s="360"/>
      <c r="X2" s="359"/>
      <c r="Y2" s="360"/>
      <c r="Z2" s="359"/>
      <c r="AA2" s="360"/>
      <c r="AB2" s="360" t="s">
        <v>101</v>
      </c>
      <c r="AC2" s="360"/>
      <c r="AD2" s="360"/>
    </row>
    <row r="3" spans="1:30" ht="15">
      <c r="A3" s="361" t="s">
        <v>102</v>
      </c>
      <c r="B3" s="362" t="s">
        <v>103</v>
      </c>
      <c r="C3" s="362" t="s">
        <v>104</v>
      </c>
      <c r="D3" s="362"/>
      <c r="E3" s="362"/>
      <c r="F3" s="363" t="s">
        <v>105</v>
      </c>
      <c r="G3" s="362"/>
      <c r="H3" s="362"/>
      <c r="I3" s="362" t="s">
        <v>106</v>
      </c>
      <c r="J3" s="362"/>
      <c r="K3" s="362"/>
      <c r="L3" s="362"/>
      <c r="M3" s="362"/>
      <c r="N3" s="362"/>
      <c r="O3" s="361" t="s">
        <v>107</v>
      </c>
      <c r="P3" s="361" t="s">
        <v>108</v>
      </c>
      <c r="Q3" s="386" t="s">
        <v>109</v>
      </c>
      <c r="R3" s="407"/>
      <c r="S3" s="407"/>
      <c r="T3" s="363"/>
      <c r="U3" s="362" t="s">
        <v>110</v>
      </c>
      <c r="V3" s="362"/>
      <c r="W3" s="386" t="s">
        <v>111</v>
      </c>
      <c r="X3" s="407"/>
      <c r="Y3" s="363"/>
      <c r="Z3" s="361" t="s">
        <v>112</v>
      </c>
      <c r="AA3" s="362" t="s">
        <v>113</v>
      </c>
      <c r="AB3" s="362"/>
      <c r="AC3" s="361" t="s">
        <v>114</v>
      </c>
      <c r="AD3" s="361" t="s">
        <v>115</v>
      </c>
    </row>
    <row r="4" spans="1:30" ht="15">
      <c r="A4" s="364"/>
      <c r="B4" s="362"/>
      <c r="C4" s="362" t="s">
        <v>116</v>
      </c>
      <c r="D4" s="362" t="s">
        <v>117</v>
      </c>
      <c r="E4" s="362" t="s">
        <v>118</v>
      </c>
      <c r="F4" s="365" t="s">
        <v>119</v>
      </c>
      <c r="G4" s="366"/>
      <c r="H4" s="366"/>
      <c r="I4" s="362" t="s">
        <v>120</v>
      </c>
      <c r="J4" s="362"/>
      <c r="K4" s="362" t="s">
        <v>121</v>
      </c>
      <c r="L4" s="362"/>
      <c r="M4" s="362" t="s">
        <v>122</v>
      </c>
      <c r="N4" s="362"/>
      <c r="O4" s="364"/>
      <c r="P4" s="400" t="s">
        <v>123</v>
      </c>
      <c r="Q4" s="361"/>
      <c r="R4" s="361"/>
      <c r="S4" s="361"/>
      <c r="T4" s="361"/>
      <c r="U4" s="362" t="s">
        <v>124</v>
      </c>
      <c r="V4" s="362"/>
      <c r="W4" s="361" t="s">
        <v>125</v>
      </c>
      <c r="X4" s="361" t="s">
        <v>126</v>
      </c>
      <c r="Y4" s="361" t="s">
        <v>126</v>
      </c>
      <c r="Z4" s="364" t="s">
        <v>127</v>
      </c>
      <c r="AA4" s="362" t="s">
        <v>128</v>
      </c>
      <c r="AB4" s="362"/>
      <c r="AC4" s="367" t="s">
        <v>129</v>
      </c>
      <c r="AD4" s="367" t="s">
        <v>130</v>
      </c>
    </row>
    <row r="5" spans="1:30" ht="15">
      <c r="A5" s="364"/>
      <c r="B5" s="362"/>
      <c r="C5" s="362"/>
      <c r="D5" s="362"/>
      <c r="E5" s="362"/>
      <c r="F5" s="365"/>
      <c r="G5" s="366"/>
      <c r="H5" s="366"/>
      <c r="I5" s="362"/>
      <c r="J5" s="362"/>
      <c r="K5" s="362"/>
      <c r="L5" s="362"/>
      <c r="M5" s="362"/>
      <c r="N5" s="362"/>
      <c r="O5" s="364" t="s">
        <v>131</v>
      </c>
      <c r="P5" s="400" t="s">
        <v>132</v>
      </c>
      <c r="Q5" s="364"/>
      <c r="R5" s="364" t="s">
        <v>133</v>
      </c>
      <c r="S5" s="364"/>
      <c r="T5" s="364"/>
      <c r="U5" s="361"/>
      <c r="V5" s="361"/>
      <c r="W5" s="364"/>
      <c r="X5" s="364"/>
      <c r="Y5" s="364"/>
      <c r="Z5" s="364" t="s">
        <v>134</v>
      </c>
      <c r="AA5" s="361"/>
      <c r="AB5" s="361"/>
      <c r="AC5" s="361" t="s">
        <v>135</v>
      </c>
      <c r="AD5" s="408" t="s">
        <v>136</v>
      </c>
    </row>
    <row r="6" spans="1:30" ht="15">
      <c r="A6" s="367" t="s">
        <v>137</v>
      </c>
      <c r="B6" s="362"/>
      <c r="C6" s="362"/>
      <c r="D6" s="362"/>
      <c r="E6" s="362"/>
      <c r="F6" s="363" t="s">
        <v>120</v>
      </c>
      <c r="G6" s="362" t="s">
        <v>121</v>
      </c>
      <c r="H6" s="362" t="s">
        <v>122</v>
      </c>
      <c r="I6" s="362" t="s">
        <v>138</v>
      </c>
      <c r="J6" s="362" t="s">
        <v>139</v>
      </c>
      <c r="K6" s="362" t="s">
        <v>138</v>
      </c>
      <c r="L6" s="362" t="s">
        <v>139</v>
      </c>
      <c r="M6" s="362" t="s">
        <v>138</v>
      </c>
      <c r="N6" s="386" t="s">
        <v>139</v>
      </c>
      <c r="O6" s="362" t="s">
        <v>128</v>
      </c>
      <c r="P6" s="362" t="s">
        <v>128</v>
      </c>
      <c r="Q6" s="366" t="s">
        <v>140</v>
      </c>
      <c r="R6" s="362" t="s">
        <v>141</v>
      </c>
      <c r="S6" s="362" t="s">
        <v>142</v>
      </c>
      <c r="T6" s="362" t="s">
        <v>122</v>
      </c>
      <c r="U6" s="362" t="s">
        <v>138</v>
      </c>
      <c r="V6" s="362" t="s">
        <v>139</v>
      </c>
      <c r="W6" s="362"/>
      <c r="X6" s="362" t="s">
        <v>143</v>
      </c>
      <c r="Y6" s="362" t="s">
        <v>144</v>
      </c>
      <c r="Z6" s="362" t="s">
        <v>145</v>
      </c>
      <c r="AA6" s="366" t="s">
        <v>146</v>
      </c>
      <c r="AB6" s="366" t="s">
        <v>147</v>
      </c>
      <c r="AC6" s="362" t="s">
        <v>148</v>
      </c>
      <c r="AD6" s="409"/>
    </row>
    <row r="7" spans="1:30" ht="24.75" customHeight="1">
      <c r="A7" s="368">
        <v>1</v>
      </c>
      <c r="B7" s="369" t="s">
        <v>828</v>
      </c>
      <c r="C7" s="370">
        <v>1</v>
      </c>
      <c r="D7" s="369"/>
      <c r="E7" s="369"/>
      <c r="F7" s="371">
        <v>3.086</v>
      </c>
      <c r="G7" s="370">
        <v>0.105</v>
      </c>
      <c r="H7" s="371">
        <f>F7+G7</f>
        <v>3.191</v>
      </c>
      <c r="I7" s="370">
        <v>7225</v>
      </c>
      <c r="J7" s="370">
        <v>20</v>
      </c>
      <c r="K7" s="370">
        <v>1440</v>
      </c>
      <c r="L7" s="370">
        <v>5</v>
      </c>
      <c r="M7" s="371">
        <f>I7+K7</f>
        <v>8665</v>
      </c>
      <c r="N7" s="371">
        <f>J7+L7</f>
        <v>25</v>
      </c>
      <c r="O7" s="370">
        <v>78</v>
      </c>
      <c r="P7" s="370">
        <v>75</v>
      </c>
      <c r="Q7" s="370"/>
      <c r="R7" s="370">
        <v>3</v>
      </c>
      <c r="S7" s="370"/>
      <c r="T7" s="370">
        <v>3</v>
      </c>
      <c r="U7" s="370"/>
      <c r="V7" s="370"/>
      <c r="W7" s="370"/>
      <c r="X7" s="370">
        <v>20</v>
      </c>
      <c r="Y7" s="370"/>
      <c r="Z7" s="370"/>
      <c r="AA7" s="370"/>
      <c r="AB7" s="370"/>
      <c r="AC7" s="410">
        <v>522.0192</v>
      </c>
      <c r="AD7" s="411">
        <v>6.763272081556643</v>
      </c>
    </row>
    <row r="8" spans="1:30" ht="24.75" customHeight="1">
      <c r="A8" s="372">
        <v>2</v>
      </c>
      <c r="B8" s="370" t="s">
        <v>829</v>
      </c>
      <c r="C8" s="370">
        <v>1</v>
      </c>
      <c r="D8" s="369"/>
      <c r="E8" s="373"/>
      <c r="F8" s="371">
        <v>3.978</v>
      </c>
      <c r="G8" s="370">
        <v>0.169</v>
      </c>
      <c r="H8" s="371">
        <f aca="true" t="shared" si="0" ref="H8:H33">F8+G8</f>
        <v>4.147</v>
      </c>
      <c r="I8" s="401">
        <v>4375</v>
      </c>
      <c r="J8" s="370">
        <v>14</v>
      </c>
      <c r="K8" s="401">
        <v>2060</v>
      </c>
      <c r="L8" s="370">
        <v>5</v>
      </c>
      <c r="M8" s="371">
        <f aca="true" t="shared" si="1" ref="M8:N26">I8+K8</f>
        <v>6435</v>
      </c>
      <c r="N8" s="371">
        <f t="shared" si="1"/>
        <v>19</v>
      </c>
      <c r="O8" s="370">
        <v>60</v>
      </c>
      <c r="P8" s="370">
        <v>57</v>
      </c>
      <c r="Q8" s="401"/>
      <c r="R8" s="370"/>
      <c r="S8" s="401"/>
      <c r="T8" s="370"/>
      <c r="U8" s="401"/>
      <c r="V8" s="401"/>
      <c r="W8" s="401"/>
      <c r="X8" s="370">
        <v>14</v>
      </c>
      <c r="Y8" s="370"/>
      <c r="Z8" s="370"/>
      <c r="AA8" s="401"/>
      <c r="AB8" s="401"/>
      <c r="AC8" s="410">
        <v>1278.8583999999998</v>
      </c>
      <c r="AD8" s="411">
        <v>7.909538286942159</v>
      </c>
    </row>
    <row r="9" spans="1:30" ht="24.75" customHeight="1">
      <c r="A9" s="372">
        <v>3</v>
      </c>
      <c r="B9" s="369" t="s">
        <v>830</v>
      </c>
      <c r="C9" s="369"/>
      <c r="D9" s="370">
        <v>1</v>
      </c>
      <c r="E9" s="373"/>
      <c r="F9" s="370">
        <v>65.455</v>
      </c>
      <c r="G9" s="374">
        <v>0.73</v>
      </c>
      <c r="H9" s="371">
        <f t="shared" si="0"/>
        <v>66.185</v>
      </c>
      <c r="I9" s="402">
        <v>1895</v>
      </c>
      <c r="J9" s="402">
        <v>31</v>
      </c>
      <c r="K9" s="402">
        <v>1035</v>
      </c>
      <c r="L9" s="374">
        <v>9</v>
      </c>
      <c r="M9" s="371">
        <f t="shared" si="1"/>
        <v>2930</v>
      </c>
      <c r="N9" s="371">
        <f t="shared" si="1"/>
        <v>40</v>
      </c>
      <c r="O9" s="402">
        <v>148</v>
      </c>
      <c r="P9" s="402">
        <v>129</v>
      </c>
      <c r="Q9" s="402"/>
      <c r="R9" s="374"/>
      <c r="S9" s="402"/>
      <c r="T9" s="402"/>
      <c r="U9" s="402"/>
      <c r="V9" s="402"/>
      <c r="W9" s="402"/>
      <c r="X9" s="374">
        <v>31</v>
      </c>
      <c r="Y9" s="374"/>
      <c r="Z9" s="374">
        <v>1</v>
      </c>
      <c r="AA9" s="402"/>
      <c r="AB9" s="402"/>
      <c r="AC9" s="410">
        <v>187.52050000000003</v>
      </c>
      <c r="AD9" s="411">
        <v>8.867819812254144</v>
      </c>
    </row>
    <row r="10" spans="1:30" ht="24.75" customHeight="1">
      <c r="A10" s="368">
        <v>4</v>
      </c>
      <c r="B10" s="371" t="s">
        <v>831</v>
      </c>
      <c r="C10" s="371">
        <v>1</v>
      </c>
      <c r="D10" s="375"/>
      <c r="E10" s="376"/>
      <c r="F10" s="370">
        <v>3.844</v>
      </c>
      <c r="G10" s="370">
        <v>0.305</v>
      </c>
      <c r="H10" s="371">
        <f t="shared" si="0"/>
        <v>4.149</v>
      </c>
      <c r="I10" s="401">
        <v>6860</v>
      </c>
      <c r="J10" s="401">
        <v>23</v>
      </c>
      <c r="K10" s="401">
        <v>4415</v>
      </c>
      <c r="L10" s="370">
        <v>8</v>
      </c>
      <c r="M10" s="371">
        <f t="shared" si="1"/>
        <v>11275</v>
      </c>
      <c r="N10" s="371">
        <f t="shared" si="1"/>
        <v>31</v>
      </c>
      <c r="O10" s="370">
        <v>93</v>
      </c>
      <c r="P10" s="370">
        <v>93</v>
      </c>
      <c r="Q10" s="370"/>
      <c r="R10" s="370">
        <v>2</v>
      </c>
      <c r="S10" s="370"/>
      <c r="T10" s="370">
        <v>2</v>
      </c>
      <c r="U10" s="401"/>
      <c r="V10" s="401"/>
      <c r="W10" s="401"/>
      <c r="X10" s="370">
        <v>23</v>
      </c>
      <c r="Y10" s="370"/>
      <c r="Z10" s="370"/>
      <c r="AA10" s="401"/>
      <c r="AB10" s="401"/>
      <c r="AC10" s="410">
        <v>1726.0897</v>
      </c>
      <c r="AD10" s="411">
        <v>7.541698482150348</v>
      </c>
    </row>
    <row r="11" spans="1:30" ht="24.75" customHeight="1">
      <c r="A11" s="372">
        <v>5</v>
      </c>
      <c r="B11" s="369" t="s">
        <v>832</v>
      </c>
      <c r="C11" s="369"/>
      <c r="D11" s="374">
        <v>1</v>
      </c>
      <c r="E11" s="377"/>
      <c r="F11" s="370">
        <v>37.3</v>
      </c>
      <c r="G11" s="374">
        <v>0.97</v>
      </c>
      <c r="H11" s="371">
        <f t="shared" si="0"/>
        <v>38.269999999999996</v>
      </c>
      <c r="I11" s="374">
        <v>2700</v>
      </c>
      <c r="J11" s="374">
        <v>26</v>
      </c>
      <c r="K11" s="374">
        <v>2665</v>
      </c>
      <c r="L11" s="374">
        <v>17</v>
      </c>
      <c r="M11" s="371">
        <f t="shared" si="1"/>
        <v>5365</v>
      </c>
      <c r="N11" s="371">
        <f t="shared" si="1"/>
        <v>43</v>
      </c>
      <c r="O11" s="374">
        <v>144</v>
      </c>
      <c r="P11" s="374">
        <v>129</v>
      </c>
      <c r="Q11" s="374"/>
      <c r="R11" s="374">
        <v>2</v>
      </c>
      <c r="S11" s="374"/>
      <c r="T11" s="374">
        <v>2</v>
      </c>
      <c r="U11" s="374"/>
      <c r="V11" s="374"/>
      <c r="W11" s="374"/>
      <c r="X11" s="374">
        <v>26</v>
      </c>
      <c r="Y11" s="374"/>
      <c r="Z11" s="378"/>
      <c r="AA11" s="378"/>
      <c r="AB11" s="378"/>
      <c r="AC11" s="410">
        <v>529.4231</v>
      </c>
      <c r="AD11" s="411">
        <v>8.939704684429808</v>
      </c>
    </row>
    <row r="12" spans="1:30" ht="24.75" customHeight="1">
      <c r="A12" s="372">
        <v>6</v>
      </c>
      <c r="B12" s="369" t="s">
        <v>833</v>
      </c>
      <c r="C12" s="369"/>
      <c r="D12" s="374">
        <v>1</v>
      </c>
      <c r="E12" s="369"/>
      <c r="F12" s="370">
        <v>116.25</v>
      </c>
      <c r="G12" s="374">
        <v>4.8</v>
      </c>
      <c r="H12" s="371">
        <f t="shared" si="0"/>
        <v>121.05</v>
      </c>
      <c r="I12" s="402">
        <v>2630</v>
      </c>
      <c r="J12" s="402">
        <v>57</v>
      </c>
      <c r="K12" s="402">
        <v>5215</v>
      </c>
      <c r="L12" s="374">
        <v>36</v>
      </c>
      <c r="M12" s="371">
        <f t="shared" si="1"/>
        <v>7845</v>
      </c>
      <c r="N12" s="371">
        <f t="shared" si="1"/>
        <v>93</v>
      </c>
      <c r="O12" s="402">
        <v>325</v>
      </c>
      <c r="P12" s="402">
        <v>283</v>
      </c>
      <c r="Q12" s="402"/>
      <c r="R12" s="374">
        <v>2</v>
      </c>
      <c r="S12" s="402"/>
      <c r="T12" s="402">
        <v>2</v>
      </c>
      <c r="U12" s="402"/>
      <c r="V12" s="402"/>
      <c r="W12" s="402"/>
      <c r="X12" s="374">
        <v>57</v>
      </c>
      <c r="Y12" s="374"/>
      <c r="Z12" s="370">
        <v>1</v>
      </c>
      <c r="AA12" s="370"/>
      <c r="AB12" s="370"/>
      <c r="AC12" s="410">
        <v>1016.258</v>
      </c>
      <c r="AD12" s="411">
        <v>9.887120596729137</v>
      </c>
    </row>
    <row r="13" spans="1:30" ht="24.75" customHeight="1">
      <c r="A13" s="368">
        <v>7</v>
      </c>
      <c r="B13" s="362" t="s">
        <v>834</v>
      </c>
      <c r="C13" s="372"/>
      <c r="D13" s="374">
        <v>1</v>
      </c>
      <c r="E13" s="372"/>
      <c r="F13" s="370">
        <v>65.58</v>
      </c>
      <c r="G13" s="378">
        <v>1.75</v>
      </c>
      <c r="H13" s="371">
        <f t="shared" si="0"/>
        <v>67.33</v>
      </c>
      <c r="I13" s="381">
        <v>1980</v>
      </c>
      <c r="J13" s="381">
        <v>39</v>
      </c>
      <c r="K13" s="381">
        <v>2660</v>
      </c>
      <c r="L13" s="378">
        <v>26</v>
      </c>
      <c r="M13" s="371">
        <f t="shared" si="1"/>
        <v>4640</v>
      </c>
      <c r="N13" s="371">
        <f t="shared" si="1"/>
        <v>65</v>
      </c>
      <c r="O13" s="381">
        <v>216</v>
      </c>
      <c r="P13" s="381">
        <v>195</v>
      </c>
      <c r="Q13" s="381"/>
      <c r="R13" s="378">
        <v>1</v>
      </c>
      <c r="S13" s="381"/>
      <c r="T13" s="381">
        <v>1</v>
      </c>
      <c r="U13" s="381"/>
      <c r="V13" s="381"/>
      <c r="W13" s="381"/>
      <c r="X13" s="378">
        <v>39</v>
      </c>
      <c r="Y13" s="378"/>
      <c r="Z13" s="378">
        <v>1</v>
      </c>
      <c r="AA13" s="381"/>
      <c r="AB13" s="381"/>
      <c r="AC13" s="410">
        <v>242.5133</v>
      </c>
      <c r="AD13" s="411">
        <v>9.926150922807043</v>
      </c>
    </row>
    <row r="14" spans="1:30" ht="24.75" customHeight="1">
      <c r="A14" s="372">
        <v>8</v>
      </c>
      <c r="B14" s="379" t="s">
        <v>835</v>
      </c>
      <c r="C14" s="380"/>
      <c r="D14" s="374">
        <v>1</v>
      </c>
      <c r="E14" s="380"/>
      <c r="F14" s="370">
        <v>65.1</v>
      </c>
      <c r="G14" s="379"/>
      <c r="H14" s="371">
        <f t="shared" si="0"/>
        <v>65.1</v>
      </c>
      <c r="I14" s="380">
        <v>1690</v>
      </c>
      <c r="J14" s="380">
        <v>34</v>
      </c>
      <c r="K14" s="380">
        <v>690</v>
      </c>
      <c r="L14" s="379">
        <v>12</v>
      </c>
      <c r="M14" s="371">
        <f t="shared" si="1"/>
        <v>2380</v>
      </c>
      <c r="N14" s="371">
        <f t="shared" si="1"/>
        <v>46</v>
      </c>
      <c r="O14" s="381">
        <v>138</v>
      </c>
      <c r="P14" s="381">
        <v>138</v>
      </c>
      <c r="Q14" s="381"/>
      <c r="R14" s="378">
        <v>1</v>
      </c>
      <c r="S14" s="381"/>
      <c r="T14" s="381">
        <v>1</v>
      </c>
      <c r="U14" s="381"/>
      <c r="V14" s="381"/>
      <c r="W14" s="381"/>
      <c r="X14" s="378">
        <v>34</v>
      </c>
      <c r="Y14" s="378"/>
      <c r="Z14" s="378"/>
      <c r="AA14" s="381"/>
      <c r="AB14" s="381"/>
      <c r="AC14" s="410">
        <v>136.2309</v>
      </c>
      <c r="AD14" s="411">
        <v>8.906179267014865</v>
      </c>
    </row>
    <row r="15" spans="1:30" ht="24.75" customHeight="1">
      <c r="A15" s="372">
        <v>9</v>
      </c>
      <c r="B15" s="378" t="s">
        <v>836</v>
      </c>
      <c r="C15" s="381"/>
      <c r="D15" s="374">
        <v>1</v>
      </c>
      <c r="E15" s="381"/>
      <c r="F15" s="370">
        <v>83.5</v>
      </c>
      <c r="G15" s="378"/>
      <c r="H15" s="371">
        <f t="shared" si="0"/>
        <v>83.5</v>
      </c>
      <c r="I15" s="381">
        <v>2005</v>
      </c>
      <c r="J15" s="381">
        <v>34</v>
      </c>
      <c r="K15" s="381">
        <v>2265</v>
      </c>
      <c r="L15" s="378">
        <v>18</v>
      </c>
      <c r="M15" s="371">
        <f t="shared" si="1"/>
        <v>4270</v>
      </c>
      <c r="N15" s="371">
        <f t="shared" si="1"/>
        <v>52</v>
      </c>
      <c r="O15" s="381">
        <v>156</v>
      </c>
      <c r="P15" s="381">
        <v>156</v>
      </c>
      <c r="Q15" s="381"/>
      <c r="R15" s="378">
        <v>1</v>
      </c>
      <c r="S15" s="381"/>
      <c r="T15" s="381">
        <v>1</v>
      </c>
      <c r="U15" s="381">
        <v>200</v>
      </c>
      <c r="V15" s="381">
        <v>2</v>
      </c>
      <c r="W15" s="381"/>
      <c r="X15" s="378">
        <v>34</v>
      </c>
      <c r="Y15" s="378"/>
      <c r="Z15" s="378"/>
      <c r="AA15" s="381"/>
      <c r="AB15" s="381"/>
      <c r="AC15" s="410">
        <v>511.7064</v>
      </c>
      <c r="AD15" s="411">
        <v>9.373098864618647</v>
      </c>
    </row>
    <row r="16" spans="1:30" ht="24.75" customHeight="1">
      <c r="A16" s="368">
        <v>10</v>
      </c>
      <c r="B16" s="378" t="s">
        <v>837</v>
      </c>
      <c r="C16" s="381"/>
      <c r="D16" s="374">
        <v>1</v>
      </c>
      <c r="E16" s="381"/>
      <c r="F16" s="370">
        <v>18.01</v>
      </c>
      <c r="G16" s="378"/>
      <c r="H16" s="371">
        <f t="shared" si="0"/>
        <v>18.01</v>
      </c>
      <c r="I16" s="381">
        <v>540</v>
      </c>
      <c r="J16" s="381">
        <v>6</v>
      </c>
      <c r="K16" s="381">
        <v>320</v>
      </c>
      <c r="L16" s="378">
        <v>2</v>
      </c>
      <c r="M16" s="371">
        <f t="shared" si="1"/>
        <v>860</v>
      </c>
      <c r="N16" s="371">
        <f t="shared" si="1"/>
        <v>8</v>
      </c>
      <c r="O16" s="381">
        <v>24</v>
      </c>
      <c r="P16" s="381">
        <v>24</v>
      </c>
      <c r="Q16" s="381"/>
      <c r="R16" s="378"/>
      <c r="S16" s="381"/>
      <c r="T16" s="381"/>
      <c r="U16" s="381"/>
      <c r="V16" s="381"/>
      <c r="W16" s="381"/>
      <c r="X16" s="378">
        <v>6</v>
      </c>
      <c r="Y16" s="378"/>
      <c r="Z16" s="378"/>
      <c r="AA16" s="381"/>
      <c r="AB16" s="381"/>
      <c r="AC16" s="410">
        <v>638.6287000000001</v>
      </c>
      <c r="AD16" s="411">
        <v>8.96835245824294</v>
      </c>
    </row>
    <row r="17" spans="1:30" ht="24.75" customHeight="1">
      <c r="A17" s="372">
        <v>11</v>
      </c>
      <c r="B17" s="379" t="s">
        <v>838</v>
      </c>
      <c r="C17" s="380"/>
      <c r="D17" s="374">
        <v>1</v>
      </c>
      <c r="E17" s="380"/>
      <c r="F17" s="370">
        <v>34.72</v>
      </c>
      <c r="G17" s="379"/>
      <c r="H17" s="371">
        <f t="shared" si="0"/>
        <v>34.72</v>
      </c>
      <c r="I17" s="381">
        <v>1330</v>
      </c>
      <c r="J17" s="381">
        <v>23</v>
      </c>
      <c r="K17" s="381">
        <v>815</v>
      </c>
      <c r="L17" s="378">
        <v>5</v>
      </c>
      <c r="M17" s="371">
        <f t="shared" si="1"/>
        <v>2145</v>
      </c>
      <c r="N17" s="371">
        <f t="shared" si="1"/>
        <v>28</v>
      </c>
      <c r="O17" s="381">
        <v>81</v>
      </c>
      <c r="P17" s="381">
        <v>81</v>
      </c>
      <c r="Q17" s="381"/>
      <c r="R17" s="378"/>
      <c r="S17" s="381"/>
      <c r="T17" s="381"/>
      <c r="U17" s="381"/>
      <c r="V17" s="381"/>
      <c r="W17" s="381"/>
      <c r="X17" s="378">
        <v>23</v>
      </c>
      <c r="Y17" s="378"/>
      <c r="Z17" s="378"/>
      <c r="AA17" s="381"/>
      <c r="AB17" s="381"/>
      <c r="AC17" s="410">
        <v>221.53930000000003</v>
      </c>
      <c r="AD17" s="411">
        <v>9.366043046560813</v>
      </c>
    </row>
    <row r="18" spans="1:30" ht="24.75" customHeight="1">
      <c r="A18" s="372">
        <v>12</v>
      </c>
      <c r="B18" s="367" t="s">
        <v>839</v>
      </c>
      <c r="C18" s="367"/>
      <c r="D18" s="374">
        <v>1</v>
      </c>
      <c r="E18" s="367"/>
      <c r="F18" s="370">
        <v>75.95</v>
      </c>
      <c r="G18" s="379">
        <v>3.35</v>
      </c>
      <c r="H18" s="371">
        <f t="shared" si="0"/>
        <v>79.3</v>
      </c>
      <c r="I18" s="379">
        <v>1750</v>
      </c>
      <c r="J18" s="379">
        <v>39</v>
      </c>
      <c r="K18" s="379">
        <v>640</v>
      </c>
      <c r="L18" s="379">
        <v>6</v>
      </c>
      <c r="M18" s="371">
        <f t="shared" si="1"/>
        <v>2390</v>
      </c>
      <c r="N18" s="371">
        <f t="shared" si="1"/>
        <v>45</v>
      </c>
      <c r="O18" s="378">
        <v>156</v>
      </c>
      <c r="P18" s="378">
        <v>132</v>
      </c>
      <c r="Q18" s="378"/>
      <c r="R18" s="378"/>
      <c r="S18" s="378"/>
      <c r="T18" s="378"/>
      <c r="U18" s="378"/>
      <c r="V18" s="378"/>
      <c r="W18" s="378"/>
      <c r="X18" s="378">
        <v>39</v>
      </c>
      <c r="Y18" s="378"/>
      <c r="Z18" s="378"/>
      <c r="AA18" s="378"/>
      <c r="AB18" s="378"/>
      <c r="AC18" s="410">
        <v>240.3807</v>
      </c>
      <c r="AD18" s="411">
        <v>8.741823024646632</v>
      </c>
    </row>
    <row r="19" spans="1:30" ht="24.75" customHeight="1">
      <c r="A19" s="368">
        <v>13</v>
      </c>
      <c r="B19" s="375" t="s">
        <v>840</v>
      </c>
      <c r="C19" s="382"/>
      <c r="D19" s="374">
        <v>1</v>
      </c>
      <c r="E19" s="382"/>
      <c r="F19" s="370">
        <v>90.5</v>
      </c>
      <c r="G19" s="374">
        <v>0.45</v>
      </c>
      <c r="H19" s="371">
        <f t="shared" si="0"/>
        <v>90.95</v>
      </c>
      <c r="I19" s="402">
        <v>1730</v>
      </c>
      <c r="J19" s="402">
        <v>33</v>
      </c>
      <c r="K19" s="402">
        <v>570</v>
      </c>
      <c r="L19" s="374">
        <v>5</v>
      </c>
      <c r="M19" s="371">
        <f t="shared" si="1"/>
        <v>2300</v>
      </c>
      <c r="N19" s="371">
        <f t="shared" si="1"/>
        <v>38</v>
      </c>
      <c r="O19" s="402">
        <v>149</v>
      </c>
      <c r="P19" s="402">
        <v>119</v>
      </c>
      <c r="Q19" s="402"/>
      <c r="R19" s="374">
        <v>1</v>
      </c>
      <c r="S19" s="402"/>
      <c r="T19" s="402">
        <v>1</v>
      </c>
      <c r="U19" s="402"/>
      <c r="V19" s="402"/>
      <c r="W19" s="402"/>
      <c r="X19" s="374">
        <v>33</v>
      </c>
      <c r="Y19" s="374"/>
      <c r="Z19" s="374">
        <v>1</v>
      </c>
      <c r="AA19" s="402"/>
      <c r="AB19" s="402"/>
      <c r="AC19" s="410">
        <v>196.6454</v>
      </c>
      <c r="AD19" s="411">
        <v>9.120595838998515</v>
      </c>
    </row>
    <row r="20" spans="1:30" ht="24.75" customHeight="1">
      <c r="A20" s="372">
        <v>14</v>
      </c>
      <c r="B20" s="369" t="s">
        <v>841</v>
      </c>
      <c r="C20" s="382"/>
      <c r="D20" s="374">
        <v>1</v>
      </c>
      <c r="E20" s="382"/>
      <c r="F20" s="370">
        <v>126.32</v>
      </c>
      <c r="G20" s="374">
        <v>17.97</v>
      </c>
      <c r="H20" s="371">
        <f t="shared" si="0"/>
        <v>144.29</v>
      </c>
      <c r="I20" s="402">
        <v>2440</v>
      </c>
      <c r="J20" s="402">
        <v>59</v>
      </c>
      <c r="K20" s="402">
        <v>7333</v>
      </c>
      <c r="L20" s="374">
        <v>56</v>
      </c>
      <c r="M20" s="371">
        <f t="shared" si="1"/>
        <v>9773</v>
      </c>
      <c r="N20" s="371">
        <f t="shared" si="1"/>
        <v>115</v>
      </c>
      <c r="O20" s="402">
        <v>407</v>
      </c>
      <c r="P20" s="402">
        <v>371</v>
      </c>
      <c r="Q20" s="402"/>
      <c r="R20" s="374">
        <v>8</v>
      </c>
      <c r="S20" s="402"/>
      <c r="T20" s="402">
        <v>8</v>
      </c>
      <c r="U20" s="402">
        <v>200</v>
      </c>
      <c r="V20" s="402">
        <v>2</v>
      </c>
      <c r="W20" s="402"/>
      <c r="X20" s="374">
        <v>59</v>
      </c>
      <c r="Y20" s="374"/>
      <c r="Z20" s="374">
        <v>2</v>
      </c>
      <c r="AA20" s="402"/>
      <c r="AB20" s="402"/>
      <c r="AC20" s="410">
        <v>1056.2855</v>
      </c>
      <c r="AD20" s="411">
        <v>10.351227206955675</v>
      </c>
    </row>
    <row r="21" spans="1:30" ht="24.75" customHeight="1">
      <c r="A21" s="372">
        <v>15</v>
      </c>
      <c r="B21" s="362" t="s">
        <v>842</v>
      </c>
      <c r="C21" s="372"/>
      <c r="D21" s="374">
        <v>1</v>
      </c>
      <c r="E21" s="372"/>
      <c r="F21" s="370">
        <v>13.2</v>
      </c>
      <c r="G21" s="378">
        <v>0.8</v>
      </c>
      <c r="H21" s="371">
        <f t="shared" si="0"/>
        <v>14</v>
      </c>
      <c r="I21" s="381">
        <v>330</v>
      </c>
      <c r="J21" s="381">
        <v>7</v>
      </c>
      <c r="K21" s="381">
        <v>1060</v>
      </c>
      <c r="L21" s="378">
        <v>7</v>
      </c>
      <c r="M21" s="371">
        <f t="shared" si="1"/>
        <v>1390</v>
      </c>
      <c r="N21" s="371">
        <f t="shared" si="1"/>
        <v>14</v>
      </c>
      <c r="O21" s="381">
        <v>51</v>
      </c>
      <c r="P21" s="381">
        <v>42</v>
      </c>
      <c r="Q21" s="381"/>
      <c r="R21" s="378"/>
      <c r="S21" s="381"/>
      <c r="T21" s="381"/>
      <c r="U21" s="381"/>
      <c r="V21" s="381"/>
      <c r="W21" s="381"/>
      <c r="X21" s="378">
        <v>7</v>
      </c>
      <c r="Y21" s="378"/>
      <c r="Z21" s="378"/>
      <c r="AA21" s="381"/>
      <c r="AB21" s="381"/>
      <c r="AC21" s="410">
        <v>119.45230000000001</v>
      </c>
      <c r="AD21" s="411">
        <v>9.711035525321202</v>
      </c>
    </row>
    <row r="22" spans="1:30" ht="24.75" customHeight="1">
      <c r="A22" s="368">
        <v>16</v>
      </c>
      <c r="B22" s="383" t="s">
        <v>843</v>
      </c>
      <c r="C22" s="360"/>
      <c r="D22" s="374">
        <v>1</v>
      </c>
      <c r="E22" s="384"/>
      <c r="F22" s="370">
        <v>212.75</v>
      </c>
      <c r="G22" s="374">
        <v>10.2</v>
      </c>
      <c r="H22" s="371">
        <f t="shared" si="0"/>
        <v>222.95</v>
      </c>
      <c r="I22" s="374">
        <v>7710</v>
      </c>
      <c r="J22" s="374">
        <v>126</v>
      </c>
      <c r="K22" s="374">
        <v>2720</v>
      </c>
      <c r="L22" s="374">
        <v>25</v>
      </c>
      <c r="M22" s="371">
        <f aca="true" t="shared" si="2" ref="M22:M27">I22+K22</f>
        <v>10430</v>
      </c>
      <c r="N22" s="371">
        <f aca="true" t="shared" si="3" ref="N22:N27">J22+L22</f>
        <v>151</v>
      </c>
      <c r="O22" s="374">
        <v>489</v>
      </c>
      <c r="P22" s="374">
        <v>471</v>
      </c>
      <c r="Q22" s="374"/>
      <c r="R22" s="374">
        <v>5</v>
      </c>
      <c r="S22" s="374"/>
      <c r="T22" s="374">
        <v>5</v>
      </c>
      <c r="U22" s="381"/>
      <c r="V22" s="381"/>
      <c r="W22" s="381"/>
      <c r="X22" s="378">
        <v>126</v>
      </c>
      <c r="Y22" s="378"/>
      <c r="Z22" s="378">
        <v>2</v>
      </c>
      <c r="AA22" s="381"/>
      <c r="AB22" s="381"/>
      <c r="AC22" s="410">
        <v>725.5808999999999</v>
      </c>
      <c r="AD22" s="411">
        <v>9.640895295997387</v>
      </c>
    </row>
    <row r="23" spans="1:30" ht="24.75" customHeight="1">
      <c r="A23" s="372">
        <v>17</v>
      </c>
      <c r="B23" s="370" t="s">
        <v>844</v>
      </c>
      <c r="C23" s="372"/>
      <c r="D23" s="369"/>
      <c r="E23" s="374">
        <v>1</v>
      </c>
      <c r="F23" s="370">
        <v>3.2</v>
      </c>
      <c r="G23" s="374">
        <v>3.2</v>
      </c>
      <c r="H23" s="371">
        <f t="shared" si="0"/>
        <v>6.4</v>
      </c>
      <c r="I23" s="374"/>
      <c r="J23" s="374"/>
      <c r="K23" s="374"/>
      <c r="L23" s="374"/>
      <c r="M23" s="370"/>
      <c r="N23" s="370"/>
      <c r="O23" s="374"/>
      <c r="P23" s="374"/>
      <c r="Q23" s="374"/>
      <c r="R23" s="374"/>
      <c r="S23" s="374"/>
      <c r="T23" s="374"/>
      <c r="U23" s="381"/>
      <c r="V23" s="381"/>
      <c r="W23" s="381"/>
      <c r="X23" s="378"/>
      <c r="Y23" s="378"/>
      <c r="Z23" s="378"/>
      <c r="AA23" s="381"/>
      <c r="AB23" s="381"/>
      <c r="AC23" s="381"/>
      <c r="AD23" s="372"/>
    </row>
    <row r="24" spans="1:30" ht="24.75" customHeight="1">
      <c r="A24" s="372">
        <v>18</v>
      </c>
      <c r="B24" s="362" t="s">
        <v>845</v>
      </c>
      <c r="C24" s="372"/>
      <c r="D24" s="362">
        <v>1</v>
      </c>
      <c r="E24" s="362"/>
      <c r="F24" s="370">
        <v>24.6</v>
      </c>
      <c r="G24" s="378">
        <v>3.3</v>
      </c>
      <c r="H24" s="371">
        <f t="shared" si="0"/>
        <v>27.900000000000002</v>
      </c>
      <c r="I24" s="378">
        <v>1135</v>
      </c>
      <c r="J24" s="378">
        <v>19</v>
      </c>
      <c r="K24" s="378">
        <v>2015</v>
      </c>
      <c r="L24" s="378">
        <v>8</v>
      </c>
      <c r="M24" s="370">
        <f t="shared" si="1"/>
        <v>3150</v>
      </c>
      <c r="N24" s="370">
        <f t="shared" si="1"/>
        <v>27</v>
      </c>
      <c r="O24" s="378">
        <v>81</v>
      </c>
      <c r="P24" s="378">
        <v>81</v>
      </c>
      <c r="Q24" s="378"/>
      <c r="R24" s="378">
        <v>1</v>
      </c>
      <c r="S24" s="378"/>
      <c r="T24" s="378">
        <v>1</v>
      </c>
      <c r="U24" s="378"/>
      <c r="V24" s="381"/>
      <c r="W24" s="381"/>
      <c r="X24" s="378">
        <v>19</v>
      </c>
      <c r="Y24" s="381"/>
      <c r="Z24" s="378"/>
      <c r="AA24" s="381"/>
      <c r="AB24" s="381"/>
      <c r="AC24" s="410">
        <v>248.3681</v>
      </c>
      <c r="AD24" s="411">
        <v>8.445613063731725</v>
      </c>
    </row>
    <row r="25" spans="1:30" ht="24.75" customHeight="1">
      <c r="A25" s="368">
        <v>19</v>
      </c>
      <c r="B25" s="371" t="s">
        <v>846</v>
      </c>
      <c r="C25" s="360"/>
      <c r="D25" s="362">
        <v>1</v>
      </c>
      <c r="E25" s="377"/>
      <c r="F25" s="370">
        <v>165.96</v>
      </c>
      <c r="G25" s="374">
        <v>7.4</v>
      </c>
      <c r="H25" s="371">
        <f t="shared" si="0"/>
        <v>173.36</v>
      </c>
      <c r="I25" s="374">
        <v>5510</v>
      </c>
      <c r="J25" s="374">
        <v>98</v>
      </c>
      <c r="K25" s="374">
        <v>3430</v>
      </c>
      <c r="L25" s="374">
        <v>26</v>
      </c>
      <c r="M25" s="370">
        <f t="shared" si="2"/>
        <v>8940</v>
      </c>
      <c r="N25" s="370">
        <f t="shared" si="3"/>
        <v>124</v>
      </c>
      <c r="O25" s="374">
        <v>423</v>
      </c>
      <c r="P25" s="374">
        <v>390</v>
      </c>
      <c r="Q25" s="374"/>
      <c r="R25" s="374">
        <v>6</v>
      </c>
      <c r="S25" s="374"/>
      <c r="T25" s="374">
        <v>6</v>
      </c>
      <c r="U25" s="378"/>
      <c r="V25" s="381"/>
      <c r="W25" s="381"/>
      <c r="X25" s="378">
        <v>98</v>
      </c>
      <c r="Y25" s="381"/>
      <c r="Z25" s="378">
        <v>1</v>
      </c>
      <c r="AA25" s="381"/>
      <c r="AB25" s="381"/>
      <c r="AC25" s="410">
        <v>563.5212</v>
      </c>
      <c r="AD25" s="411">
        <v>9.464805305243134</v>
      </c>
    </row>
    <row r="26" spans="1:30" ht="24.75" customHeight="1">
      <c r="A26" s="372">
        <v>20</v>
      </c>
      <c r="B26" s="362" t="s">
        <v>847</v>
      </c>
      <c r="C26" s="372"/>
      <c r="D26" s="362">
        <v>1</v>
      </c>
      <c r="E26" s="362"/>
      <c r="F26" s="370">
        <v>51.4</v>
      </c>
      <c r="G26" s="385">
        <v>4</v>
      </c>
      <c r="H26" s="371">
        <f t="shared" si="0"/>
        <v>55.4</v>
      </c>
      <c r="I26" s="403">
        <v>2685</v>
      </c>
      <c r="J26" s="403">
        <v>37</v>
      </c>
      <c r="K26" s="403">
        <v>1980</v>
      </c>
      <c r="L26" s="403">
        <v>12</v>
      </c>
      <c r="M26" s="370">
        <f t="shared" si="1"/>
        <v>4665</v>
      </c>
      <c r="N26" s="370">
        <f t="shared" si="1"/>
        <v>49</v>
      </c>
      <c r="O26" s="403">
        <v>160</v>
      </c>
      <c r="P26" s="403">
        <v>153</v>
      </c>
      <c r="Q26" s="378"/>
      <c r="R26" s="378">
        <v>1</v>
      </c>
      <c r="S26" s="378"/>
      <c r="T26" s="378">
        <v>1</v>
      </c>
      <c r="U26" s="378"/>
      <c r="V26" s="381"/>
      <c r="W26" s="381"/>
      <c r="X26" s="378">
        <v>37</v>
      </c>
      <c r="Y26" s="381"/>
      <c r="Z26" s="378">
        <v>1</v>
      </c>
      <c r="AA26" s="381"/>
      <c r="AB26" s="381"/>
      <c r="AC26" s="410">
        <v>449.643</v>
      </c>
      <c r="AD26" s="411">
        <v>10.415047876346332</v>
      </c>
    </row>
    <row r="27" spans="1:30" ht="24.75" customHeight="1">
      <c r="A27" s="372">
        <v>21</v>
      </c>
      <c r="B27" s="372" t="s">
        <v>848</v>
      </c>
      <c r="C27" s="372"/>
      <c r="D27" s="362">
        <v>1</v>
      </c>
      <c r="E27" s="362"/>
      <c r="F27" s="370">
        <v>93.95</v>
      </c>
      <c r="G27" s="378"/>
      <c r="H27" s="371">
        <f t="shared" si="0"/>
        <v>93.95</v>
      </c>
      <c r="I27" s="402">
        <v>2545</v>
      </c>
      <c r="J27" s="402">
        <v>43</v>
      </c>
      <c r="K27" s="402">
        <v>11305</v>
      </c>
      <c r="L27" s="374">
        <v>75</v>
      </c>
      <c r="M27" s="370">
        <f t="shared" si="2"/>
        <v>13850</v>
      </c>
      <c r="N27" s="370">
        <f t="shared" si="3"/>
        <v>118</v>
      </c>
      <c r="O27" s="378">
        <v>360</v>
      </c>
      <c r="P27" s="378">
        <v>366</v>
      </c>
      <c r="Q27" s="378"/>
      <c r="R27" s="378">
        <v>2</v>
      </c>
      <c r="S27" s="378"/>
      <c r="T27" s="378">
        <v>2</v>
      </c>
      <c r="U27" s="378"/>
      <c r="V27" s="381"/>
      <c r="W27" s="381"/>
      <c r="X27" s="378">
        <v>43</v>
      </c>
      <c r="Y27" s="381"/>
      <c r="Z27" s="378">
        <v>1</v>
      </c>
      <c r="AA27" s="381"/>
      <c r="AB27" s="381"/>
      <c r="AC27" s="410">
        <v>1396.8792999999998</v>
      </c>
      <c r="AD27" s="411">
        <v>10.577175940685214</v>
      </c>
    </row>
    <row r="28" spans="1:30" ht="24.75" customHeight="1">
      <c r="A28" s="368">
        <v>22</v>
      </c>
      <c r="B28" s="374" t="s">
        <v>849</v>
      </c>
      <c r="C28" s="372"/>
      <c r="D28" s="362">
        <v>1</v>
      </c>
      <c r="E28" s="372"/>
      <c r="F28" s="370">
        <v>6.7</v>
      </c>
      <c r="G28" s="378"/>
      <c r="H28" s="371">
        <f t="shared" si="0"/>
        <v>6.7</v>
      </c>
      <c r="I28" s="381">
        <v>100</v>
      </c>
      <c r="J28" s="381">
        <v>1</v>
      </c>
      <c r="K28" s="402">
        <v>1375</v>
      </c>
      <c r="L28" s="374">
        <v>5</v>
      </c>
      <c r="M28" s="381">
        <f aca="true" t="shared" si="4" ref="M28:N31">I28+K28</f>
        <v>1475</v>
      </c>
      <c r="N28" s="381">
        <f t="shared" si="4"/>
        <v>6</v>
      </c>
      <c r="O28" s="381">
        <f aca="true" t="shared" si="5" ref="O28:O31">N28*3</f>
        <v>18</v>
      </c>
      <c r="P28" s="381">
        <v>21</v>
      </c>
      <c r="Q28" s="381"/>
      <c r="R28" s="378"/>
      <c r="S28" s="381"/>
      <c r="T28" s="381"/>
      <c r="U28" s="381"/>
      <c r="V28" s="381"/>
      <c r="W28" s="381"/>
      <c r="X28" s="378">
        <v>1</v>
      </c>
      <c r="Y28" s="381"/>
      <c r="Z28" s="378"/>
      <c r="AA28" s="381"/>
      <c r="AB28" s="381"/>
      <c r="AC28" s="410">
        <v>95.6845</v>
      </c>
      <c r="AD28" s="411">
        <v>8.262065923951596</v>
      </c>
    </row>
    <row r="29" spans="1:30" ht="24.75" customHeight="1">
      <c r="A29" s="372">
        <v>23</v>
      </c>
      <c r="B29" s="374" t="s">
        <v>850</v>
      </c>
      <c r="C29" s="372"/>
      <c r="D29" s="362">
        <v>1</v>
      </c>
      <c r="E29" s="372"/>
      <c r="F29" s="370">
        <v>4.612</v>
      </c>
      <c r="G29" s="378"/>
      <c r="H29" s="371">
        <f t="shared" si="0"/>
        <v>4.612</v>
      </c>
      <c r="I29" s="381"/>
      <c r="J29" s="381"/>
      <c r="K29" s="381">
        <v>950</v>
      </c>
      <c r="L29" s="378">
        <v>4</v>
      </c>
      <c r="M29" s="381">
        <f t="shared" si="4"/>
        <v>950</v>
      </c>
      <c r="N29" s="381">
        <f t="shared" si="4"/>
        <v>4</v>
      </c>
      <c r="O29" s="381">
        <f t="shared" si="5"/>
        <v>12</v>
      </c>
      <c r="P29" s="381">
        <v>18</v>
      </c>
      <c r="Q29" s="381"/>
      <c r="R29" s="378"/>
      <c r="S29" s="381"/>
      <c r="T29" s="381"/>
      <c r="U29" s="381"/>
      <c r="V29" s="381"/>
      <c r="W29" s="381"/>
      <c r="X29" s="378"/>
      <c r="Y29" s="381"/>
      <c r="Z29" s="378"/>
      <c r="AA29" s="381"/>
      <c r="AB29" s="381"/>
      <c r="AC29" s="410">
        <v>82.33519999999999</v>
      </c>
      <c r="AD29" s="411">
        <v>5.128476943285801</v>
      </c>
    </row>
    <row r="30" spans="1:30" ht="24.75" customHeight="1">
      <c r="A30" s="372">
        <v>24</v>
      </c>
      <c r="B30" s="374" t="s">
        <v>851</v>
      </c>
      <c r="C30" s="372"/>
      <c r="D30" s="362">
        <v>1</v>
      </c>
      <c r="E30" s="372"/>
      <c r="F30" s="370">
        <v>49.14</v>
      </c>
      <c r="G30" s="378"/>
      <c r="H30" s="371">
        <f t="shared" si="0"/>
        <v>49.14</v>
      </c>
      <c r="I30" s="402">
        <v>1075</v>
      </c>
      <c r="J30" s="402">
        <v>27</v>
      </c>
      <c r="K30" s="402">
        <v>2270</v>
      </c>
      <c r="L30" s="374">
        <v>32</v>
      </c>
      <c r="M30" s="381">
        <f t="shared" si="4"/>
        <v>3345</v>
      </c>
      <c r="N30" s="381">
        <f t="shared" si="4"/>
        <v>59</v>
      </c>
      <c r="O30" s="381">
        <f t="shared" si="5"/>
        <v>177</v>
      </c>
      <c r="P30" s="381">
        <v>180</v>
      </c>
      <c r="Q30" s="381"/>
      <c r="R30" s="378">
        <v>1</v>
      </c>
      <c r="S30" s="381"/>
      <c r="T30" s="381">
        <v>1</v>
      </c>
      <c r="U30" s="381"/>
      <c r="V30" s="381"/>
      <c r="W30" s="381"/>
      <c r="X30" s="378">
        <v>27</v>
      </c>
      <c r="Y30" s="381"/>
      <c r="Z30" s="378"/>
      <c r="AA30" s="381"/>
      <c r="AB30" s="381"/>
      <c r="AC30" s="410">
        <v>153.61330000000004</v>
      </c>
      <c r="AD30" s="411">
        <v>9.864415193337564</v>
      </c>
    </row>
    <row r="31" spans="1:30" ht="24.75" customHeight="1">
      <c r="A31" s="368">
        <v>25</v>
      </c>
      <c r="B31" s="374" t="s">
        <v>852</v>
      </c>
      <c r="C31" s="372"/>
      <c r="D31" s="362">
        <v>1</v>
      </c>
      <c r="E31" s="372"/>
      <c r="F31" s="370">
        <v>24.31</v>
      </c>
      <c r="G31" s="378"/>
      <c r="H31" s="371">
        <f t="shared" si="0"/>
        <v>24.31</v>
      </c>
      <c r="I31" s="381">
        <v>340</v>
      </c>
      <c r="J31" s="381">
        <v>7</v>
      </c>
      <c r="K31" s="402">
        <v>1975</v>
      </c>
      <c r="L31" s="374">
        <v>14</v>
      </c>
      <c r="M31" s="381">
        <f t="shared" si="4"/>
        <v>2315</v>
      </c>
      <c r="N31" s="381">
        <f t="shared" si="4"/>
        <v>21</v>
      </c>
      <c r="O31" s="381">
        <f t="shared" si="5"/>
        <v>63</v>
      </c>
      <c r="P31" s="381">
        <v>63</v>
      </c>
      <c r="Q31" s="381"/>
      <c r="R31" s="378"/>
      <c r="S31" s="381"/>
      <c r="T31" s="381"/>
      <c r="U31" s="381"/>
      <c r="V31" s="381"/>
      <c r="W31" s="381"/>
      <c r="X31" s="378">
        <v>7</v>
      </c>
      <c r="Y31" s="381"/>
      <c r="Z31" s="378"/>
      <c r="AA31" s="381"/>
      <c r="AB31" s="381"/>
      <c r="AC31" s="410">
        <v>95.575</v>
      </c>
      <c r="AD31" s="411">
        <v>9.929649472488848</v>
      </c>
    </row>
    <row r="32" spans="1:30" ht="24.75" customHeight="1">
      <c r="A32" s="386" t="s">
        <v>122</v>
      </c>
      <c r="B32" s="363"/>
      <c r="C32" s="372"/>
      <c r="D32" s="362"/>
      <c r="E32" s="372"/>
      <c r="F32" s="378"/>
      <c r="G32" s="378"/>
      <c r="H32" s="371">
        <f t="shared" si="0"/>
        <v>0</v>
      </c>
      <c r="I32" s="381"/>
      <c r="J32" s="381"/>
      <c r="K32" s="381"/>
      <c r="L32" s="378"/>
      <c r="M32" s="381"/>
      <c r="N32" s="381"/>
      <c r="O32" s="381"/>
      <c r="P32" s="381"/>
      <c r="Q32" s="381"/>
      <c r="R32" s="378"/>
      <c r="S32" s="381"/>
      <c r="T32" s="381"/>
      <c r="U32" s="381"/>
      <c r="V32" s="381"/>
      <c r="W32" s="381"/>
      <c r="X32" s="378"/>
      <c r="Y32" s="381"/>
      <c r="Z32" s="378"/>
      <c r="AA32" s="381"/>
      <c r="AB32" s="381"/>
      <c r="AC32" s="381"/>
      <c r="AD32" s="372"/>
    </row>
    <row r="33" spans="1:30" ht="24.75" customHeight="1">
      <c r="A33" s="387" t="s">
        <v>209</v>
      </c>
      <c r="B33" s="388"/>
      <c r="C33" s="389">
        <f aca="true" t="shared" si="6" ref="C33:G33">SUM(C7:C32)</f>
        <v>3</v>
      </c>
      <c r="D33" s="361">
        <f t="shared" si="6"/>
        <v>21</v>
      </c>
      <c r="E33" s="389">
        <f t="shared" si="6"/>
        <v>1</v>
      </c>
      <c r="F33" s="390">
        <f t="shared" si="6"/>
        <v>1439.4150000000004</v>
      </c>
      <c r="G33" s="390">
        <f t="shared" si="6"/>
        <v>59.498999999999995</v>
      </c>
      <c r="H33" s="371">
        <f t="shared" si="0"/>
        <v>1498.9140000000004</v>
      </c>
      <c r="I33" s="404">
        <f aca="true" t="shared" si="7" ref="I33:AC33">SUM(I7:I32)</f>
        <v>60580</v>
      </c>
      <c r="J33" s="404">
        <f t="shared" si="7"/>
        <v>803</v>
      </c>
      <c r="K33" s="404">
        <f t="shared" si="7"/>
        <v>61203</v>
      </c>
      <c r="L33" s="390">
        <f t="shared" si="7"/>
        <v>418</v>
      </c>
      <c r="M33" s="404">
        <f t="shared" si="7"/>
        <v>121783</v>
      </c>
      <c r="N33" s="404">
        <f t="shared" si="7"/>
        <v>1221</v>
      </c>
      <c r="O33" s="404">
        <f t="shared" si="7"/>
        <v>4009</v>
      </c>
      <c r="P33" s="404">
        <f t="shared" si="7"/>
        <v>3767</v>
      </c>
      <c r="Q33" s="404">
        <f t="shared" si="7"/>
        <v>0</v>
      </c>
      <c r="R33" s="390">
        <f t="shared" si="7"/>
        <v>37</v>
      </c>
      <c r="S33" s="404">
        <f t="shared" si="7"/>
        <v>0</v>
      </c>
      <c r="T33" s="404">
        <f t="shared" si="7"/>
        <v>37</v>
      </c>
      <c r="U33" s="404">
        <f t="shared" si="7"/>
        <v>400</v>
      </c>
      <c r="V33" s="404">
        <f t="shared" si="7"/>
        <v>4</v>
      </c>
      <c r="W33" s="404">
        <f t="shared" si="7"/>
        <v>0</v>
      </c>
      <c r="X33" s="390">
        <f t="shared" si="7"/>
        <v>803</v>
      </c>
      <c r="Y33" s="404">
        <f t="shared" si="7"/>
        <v>0</v>
      </c>
      <c r="Z33" s="390">
        <f t="shared" si="7"/>
        <v>11</v>
      </c>
      <c r="AA33" s="404">
        <f t="shared" si="7"/>
        <v>0</v>
      </c>
      <c r="AB33" s="404">
        <f t="shared" si="7"/>
        <v>0</v>
      </c>
      <c r="AC33" s="412">
        <f t="shared" si="7"/>
        <v>12434.751900000001</v>
      </c>
      <c r="AD33" s="411">
        <v>9.08907819850288</v>
      </c>
    </row>
    <row r="34" spans="1:30" ht="15">
      <c r="A34" s="391"/>
      <c r="B34" s="392" t="s">
        <v>210</v>
      </c>
      <c r="C34" s="393"/>
      <c r="D34" s="394"/>
      <c r="E34" s="393"/>
      <c r="F34" s="395"/>
      <c r="G34" s="395"/>
      <c r="H34" s="395"/>
      <c r="I34" s="405"/>
      <c r="J34" s="405"/>
      <c r="K34" s="405"/>
      <c r="L34" s="395"/>
      <c r="M34" s="405"/>
      <c r="N34" s="405"/>
      <c r="O34" s="405"/>
      <c r="P34" s="405"/>
      <c r="Q34" s="405"/>
      <c r="R34" s="395"/>
      <c r="S34" s="405"/>
      <c r="T34" s="405"/>
      <c r="U34" s="405"/>
      <c r="V34" s="405"/>
      <c r="W34" s="405"/>
      <c r="X34" s="395"/>
      <c r="Y34" s="405"/>
      <c r="Z34" s="395"/>
      <c r="AA34" s="405"/>
      <c r="AB34" s="405"/>
      <c r="AC34" s="405"/>
      <c r="AD34" s="413"/>
    </row>
    <row r="35" spans="1:30" ht="15">
      <c r="A35" s="396"/>
      <c r="B35" s="397"/>
      <c r="C35" s="398"/>
      <c r="D35" s="397"/>
      <c r="E35" s="398"/>
      <c r="F35" s="399"/>
      <c r="G35" s="399"/>
      <c r="H35" s="399"/>
      <c r="I35" s="406"/>
      <c r="J35" s="406"/>
      <c r="K35" s="406"/>
      <c r="L35" s="399"/>
      <c r="M35" s="406"/>
      <c r="N35" s="406"/>
      <c r="O35" s="406"/>
      <c r="P35" s="406"/>
      <c r="Q35" s="406"/>
      <c r="R35" s="399"/>
      <c r="S35" s="406"/>
      <c r="T35" s="406"/>
      <c r="U35" s="406"/>
      <c r="V35" s="406"/>
      <c r="W35" s="406"/>
      <c r="X35" s="399"/>
      <c r="Y35" s="406"/>
      <c r="Z35" s="399"/>
      <c r="AA35" s="406"/>
      <c r="AB35" s="406"/>
      <c r="AC35" s="406"/>
      <c r="AD35" s="414"/>
    </row>
    <row r="36" spans="1:30" ht="15">
      <c r="A36" s="360"/>
      <c r="B36" s="360"/>
      <c r="C36" s="360"/>
      <c r="D36" s="359" t="s">
        <v>176</v>
      </c>
      <c r="E36" s="360"/>
      <c r="F36" s="359"/>
      <c r="G36" s="359"/>
      <c r="H36" s="359"/>
      <c r="I36" s="360"/>
      <c r="J36" s="360"/>
      <c r="K36" s="360"/>
      <c r="L36" s="359"/>
      <c r="M36" s="360"/>
      <c r="N36" s="360"/>
      <c r="O36" s="360" t="s">
        <v>177</v>
      </c>
      <c r="P36" s="360"/>
      <c r="Q36" s="360"/>
      <c r="R36" s="359"/>
      <c r="S36" s="360"/>
      <c r="T36" s="360"/>
      <c r="U36" s="360"/>
      <c r="V36" s="360"/>
      <c r="W36" s="360"/>
      <c r="X36" s="359"/>
      <c r="Y36" s="360"/>
      <c r="Z36" s="359" t="s">
        <v>853</v>
      </c>
      <c r="AA36" s="360"/>
      <c r="AB36" s="360"/>
      <c r="AC36" s="360"/>
      <c r="AD36" s="360"/>
    </row>
  </sheetData>
  <sheetProtection/>
  <mergeCells count="22">
    <mergeCell ref="A1:AD1"/>
    <mergeCell ref="C3:E3"/>
    <mergeCell ref="F3:H3"/>
    <mergeCell ref="I3:N3"/>
    <mergeCell ref="Q3:T3"/>
    <mergeCell ref="U3:V3"/>
    <mergeCell ref="W3:Y3"/>
    <mergeCell ref="AA3:AB3"/>
    <mergeCell ref="A32:B32"/>
    <mergeCell ref="A33:B33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L1">
      <selection activeCell="A1" sqref="A1:AE1"/>
    </sheetView>
  </sheetViews>
  <sheetFormatPr defaultColWidth="9.00390625" defaultRowHeight="14.25"/>
  <cols>
    <col min="1" max="28" width="9.00390625" style="294" customWidth="1"/>
    <col min="29" max="29" width="11.50390625" style="294" customWidth="1"/>
    <col min="30" max="16384" width="9.00390625" style="294" customWidth="1"/>
  </cols>
  <sheetData>
    <row r="1" spans="1:30" ht="21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28" ht="15">
      <c r="A2" s="294" t="s">
        <v>854</v>
      </c>
      <c r="V2" s="297" t="s">
        <v>855</v>
      </c>
      <c r="AB2" s="294" t="s">
        <v>101</v>
      </c>
    </row>
    <row r="3" spans="1:30" ht="15">
      <c r="A3" s="333" t="s">
        <v>102</v>
      </c>
      <c r="B3" s="334" t="s">
        <v>103</v>
      </c>
      <c r="C3" s="334" t="s">
        <v>104</v>
      </c>
      <c r="D3" s="334"/>
      <c r="E3" s="334"/>
      <c r="F3" s="335" t="s">
        <v>105</v>
      </c>
      <c r="G3" s="336"/>
      <c r="H3" s="336"/>
      <c r="I3" s="336" t="s">
        <v>106</v>
      </c>
      <c r="J3" s="336"/>
      <c r="K3" s="336"/>
      <c r="L3" s="336"/>
      <c r="M3" s="336"/>
      <c r="N3" s="336"/>
      <c r="O3" s="333" t="s">
        <v>107</v>
      </c>
      <c r="P3" s="333" t="s">
        <v>108</v>
      </c>
      <c r="Q3" s="341" t="s">
        <v>109</v>
      </c>
      <c r="R3" s="349"/>
      <c r="S3" s="349"/>
      <c r="T3" s="335"/>
      <c r="U3" s="336" t="s">
        <v>110</v>
      </c>
      <c r="V3" s="336"/>
      <c r="W3" s="341" t="s">
        <v>111</v>
      </c>
      <c r="X3" s="349"/>
      <c r="Y3" s="335"/>
      <c r="Z3" s="333" t="s">
        <v>112</v>
      </c>
      <c r="AA3" s="336" t="s">
        <v>113</v>
      </c>
      <c r="AB3" s="336"/>
      <c r="AC3" s="333" t="s">
        <v>114</v>
      </c>
      <c r="AD3" s="333" t="s">
        <v>115</v>
      </c>
    </row>
    <row r="4" spans="1:30" ht="15">
      <c r="A4" s="337"/>
      <c r="B4" s="334"/>
      <c r="C4" s="334" t="s">
        <v>116</v>
      </c>
      <c r="D4" s="334" t="s">
        <v>117</v>
      </c>
      <c r="E4" s="334" t="s">
        <v>118</v>
      </c>
      <c r="F4" s="303" t="s">
        <v>119</v>
      </c>
      <c r="G4" s="304"/>
      <c r="H4" s="304"/>
      <c r="I4" s="336" t="s">
        <v>120</v>
      </c>
      <c r="J4" s="336"/>
      <c r="K4" s="336" t="s">
        <v>121</v>
      </c>
      <c r="L4" s="336"/>
      <c r="M4" s="336" t="s">
        <v>122</v>
      </c>
      <c r="N4" s="336"/>
      <c r="O4" s="337"/>
      <c r="P4" s="347" t="s">
        <v>123</v>
      </c>
      <c r="Q4" s="333"/>
      <c r="R4" s="333"/>
      <c r="S4" s="333"/>
      <c r="T4" s="333"/>
      <c r="U4" s="336" t="s">
        <v>124</v>
      </c>
      <c r="V4" s="336"/>
      <c r="W4" s="333" t="s">
        <v>125</v>
      </c>
      <c r="X4" s="333" t="s">
        <v>126</v>
      </c>
      <c r="Y4" s="333" t="s">
        <v>126</v>
      </c>
      <c r="Z4" s="337" t="s">
        <v>127</v>
      </c>
      <c r="AA4" s="336" t="s">
        <v>128</v>
      </c>
      <c r="AB4" s="336"/>
      <c r="AC4" s="338" t="s">
        <v>129</v>
      </c>
      <c r="AD4" s="338" t="s">
        <v>130</v>
      </c>
    </row>
    <row r="5" spans="1:30" ht="15">
      <c r="A5" s="337"/>
      <c r="B5" s="334"/>
      <c r="C5" s="334"/>
      <c r="D5" s="334"/>
      <c r="E5" s="334"/>
      <c r="F5" s="303"/>
      <c r="G5" s="304"/>
      <c r="H5" s="304"/>
      <c r="I5" s="336"/>
      <c r="J5" s="336"/>
      <c r="K5" s="336"/>
      <c r="L5" s="336"/>
      <c r="M5" s="336"/>
      <c r="N5" s="336"/>
      <c r="O5" s="338" t="s">
        <v>131</v>
      </c>
      <c r="P5" s="348" t="s">
        <v>132</v>
      </c>
      <c r="Q5" s="337"/>
      <c r="R5" s="337" t="s">
        <v>133</v>
      </c>
      <c r="S5" s="337"/>
      <c r="T5" s="337"/>
      <c r="U5" s="336"/>
      <c r="V5" s="336"/>
      <c r="W5" s="337"/>
      <c r="X5" s="337"/>
      <c r="Y5" s="337"/>
      <c r="Z5" s="338" t="s">
        <v>134</v>
      </c>
      <c r="AA5" s="336"/>
      <c r="AB5" s="336"/>
      <c r="AC5" s="333" t="s">
        <v>135</v>
      </c>
      <c r="AD5" s="329" t="s">
        <v>136</v>
      </c>
    </row>
    <row r="6" spans="1:30" ht="15">
      <c r="A6" s="338" t="s">
        <v>137</v>
      </c>
      <c r="B6" s="334"/>
      <c r="C6" s="334"/>
      <c r="D6" s="334"/>
      <c r="E6" s="334"/>
      <c r="F6" s="335" t="s">
        <v>120</v>
      </c>
      <c r="G6" s="336" t="s">
        <v>121</v>
      </c>
      <c r="H6" s="336" t="s">
        <v>122</v>
      </c>
      <c r="I6" s="336" t="s">
        <v>138</v>
      </c>
      <c r="J6" s="336" t="s">
        <v>139</v>
      </c>
      <c r="K6" s="336" t="s">
        <v>138</v>
      </c>
      <c r="L6" s="336" t="s">
        <v>139</v>
      </c>
      <c r="M6" s="336" t="s">
        <v>138</v>
      </c>
      <c r="N6" s="336" t="s">
        <v>139</v>
      </c>
      <c r="O6" s="336" t="s">
        <v>128</v>
      </c>
      <c r="P6" s="336" t="s">
        <v>128</v>
      </c>
      <c r="Q6" s="326" t="s">
        <v>140</v>
      </c>
      <c r="R6" s="338" t="s">
        <v>141</v>
      </c>
      <c r="S6" s="338" t="s">
        <v>142</v>
      </c>
      <c r="T6" s="338" t="s">
        <v>122</v>
      </c>
      <c r="U6" s="336" t="s">
        <v>138</v>
      </c>
      <c r="V6" s="336" t="s">
        <v>139</v>
      </c>
      <c r="W6" s="338"/>
      <c r="X6" s="338" t="s">
        <v>143</v>
      </c>
      <c r="Y6" s="338" t="s">
        <v>144</v>
      </c>
      <c r="Z6" s="336" t="s">
        <v>145</v>
      </c>
      <c r="AA6" s="304" t="s">
        <v>146</v>
      </c>
      <c r="AB6" s="304" t="s">
        <v>147</v>
      </c>
      <c r="AC6" s="338" t="s">
        <v>148</v>
      </c>
      <c r="AD6" s="326"/>
    </row>
    <row r="7" spans="1:30" ht="24.75" customHeight="1">
      <c r="A7" s="339">
        <v>1</v>
      </c>
      <c r="B7" s="339" t="s">
        <v>856</v>
      </c>
      <c r="C7" s="339"/>
      <c r="D7" s="339" t="s">
        <v>857</v>
      </c>
      <c r="E7" s="339"/>
      <c r="F7" s="339">
        <v>83.3</v>
      </c>
      <c r="G7" s="339"/>
      <c r="H7" s="339">
        <v>83.3</v>
      </c>
      <c r="I7" s="339">
        <v>1063</v>
      </c>
      <c r="J7" s="339">
        <v>27</v>
      </c>
      <c r="K7" s="339">
        <v>3655</v>
      </c>
      <c r="L7" s="339">
        <v>22</v>
      </c>
      <c r="M7" s="339">
        <f>SUM(I7+K7)</f>
        <v>4718</v>
      </c>
      <c r="N7" s="339">
        <f>SUM(L7+J7)</f>
        <v>49</v>
      </c>
      <c r="O7" s="339">
        <v>195</v>
      </c>
      <c r="P7" s="339">
        <v>156</v>
      </c>
      <c r="Q7" s="339"/>
      <c r="R7" s="339">
        <v>2</v>
      </c>
      <c r="S7" s="339"/>
      <c r="T7" s="339"/>
      <c r="U7" s="339"/>
      <c r="V7" s="339"/>
      <c r="W7" s="339"/>
      <c r="X7" s="339">
        <v>1</v>
      </c>
      <c r="Y7" s="339">
        <v>1</v>
      </c>
      <c r="Z7" s="339">
        <v>1</v>
      </c>
      <c r="AA7" s="339">
        <v>1</v>
      </c>
      <c r="AB7" s="339">
        <v>1</v>
      </c>
      <c r="AC7" s="350">
        <v>237.0447</v>
      </c>
      <c r="AD7" s="351">
        <v>10.19</v>
      </c>
    </row>
    <row r="8" spans="1:30" ht="24.75" customHeight="1">
      <c r="A8" s="340">
        <v>2</v>
      </c>
      <c r="B8" s="340" t="s">
        <v>858</v>
      </c>
      <c r="C8" s="339" t="s">
        <v>857</v>
      </c>
      <c r="D8" s="340"/>
      <c r="E8" s="340"/>
      <c r="F8" s="340">
        <v>10.076</v>
      </c>
      <c r="G8" s="340"/>
      <c r="H8" s="340">
        <v>10.076</v>
      </c>
      <c r="I8" s="340">
        <v>3700</v>
      </c>
      <c r="J8" s="340">
        <v>20</v>
      </c>
      <c r="K8" s="340">
        <v>5610</v>
      </c>
      <c r="L8" s="340">
        <v>30</v>
      </c>
      <c r="M8" s="339">
        <f aca="true" t="shared" si="0" ref="M8:M14">SUM(I8+K8)</f>
        <v>9310</v>
      </c>
      <c r="N8" s="339">
        <f aca="true" t="shared" si="1" ref="N8:N14">SUM(L8+J8)</f>
        <v>50</v>
      </c>
      <c r="O8" s="340">
        <v>165</v>
      </c>
      <c r="P8" s="340">
        <v>159</v>
      </c>
      <c r="Q8" s="340"/>
      <c r="R8" s="340">
        <v>4</v>
      </c>
      <c r="S8" s="340"/>
      <c r="T8" s="340"/>
      <c r="U8" s="340"/>
      <c r="V8" s="340"/>
      <c r="W8" s="340"/>
      <c r="X8" s="339">
        <v>1</v>
      </c>
      <c r="Y8" s="339">
        <v>1</v>
      </c>
      <c r="Z8" s="339">
        <v>1</v>
      </c>
      <c r="AA8" s="339">
        <v>1</v>
      </c>
      <c r="AB8" s="339">
        <v>1</v>
      </c>
      <c r="AC8" s="352">
        <v>915.51</v>
      </c>
      <c r="AD8" s="353">
        <v>4.9</v>
      </c>
    </row>
    <row r="9" spans="1:30" ht="24.75" customHeight="1">
      <c r="A9" s="340">
        <v>3</v>
      </c>
      <c r="B9" s="340" t="s">
        <v>859</v>
      </c>
      <c r="C9" s="340"/>
      <c r="D9" s="339" t="s">
        <v>857</v>
      </c>
      <c r="E9" s="340"/>
      <c r="F9" s="340">
        <v>138.45</v>
      </c>
      <c r="G9" s="340"/>
      <c r="H9" s="340">
        <v>138.45</v>
      </c>
      <c r="I9" s="340">
        <v>2050</v>
      </c>
      <c r="J9" s="340">
        <v>57</v>
      </c>
      <c r="K9" s="340">
        <v>5230</v>
      </c>
      <c r="L9" s="340">
        <v>29</v>
      </c>
      <c r="M9" s="339">
        <f t="shared" si="0"/>
        <v>7280</v>
      </c>
      <c r="N9" s="339">
        <f t="shared" si="1"/>
        <v>86</v>
      </c>
      <c r="O9" s="340">
        <v>321</v>
      </c>
      <c r="P9" s="340">
        <v>273</v>
      </c>
      <c r="Q9" s="340"/>
      <c r="R9" s="340">
        <v>5</v>
      </c>
      <c r="S9" s="340"/>
      <c r="T9" s="340"/>
      <c r="U9" s="340"/>
      <c r="V9" s="340"/>
      <c r="W9" s="340"/>
      <c r="X9" s="339">
        <v>1</v>
      </c>
      <c r="Y9" s="339">
        <v>1</v>
      </c>
      <c r="Z9" s="339">
        <v>1</v>
      </c>
      <c r="AA9" s="339">
        <v>1</v>
      </c>
      <c r="AB9" s="339">
        <v>1</v>
      </c>
      <c r="AC9" s="352">
        <v>451.71</v>
      </c>
      <c r="AD9" s="353">
        <v>11.52</v>
      </c>
    </row>
    <row r="10" spans="1:30" ht="24.75" customHeight="1">
      <c r="A10" s="339">
        <v>4</v>
      </c>
      <c r="B10" s="340" t="s">
        <v>860</v>
      </c>
      <c r="C10" s="340"/>
      <c r="D10" s="339" t="s">
        <v>857</v>
      </c>
      <c r="E10" s="340"/>
      <c r="F10" s="340">
        <v>103.86</v>
      </c>
      <c r="G10" s="340"/>
      <c r="H10" s="340">
        <v>103.86</v>
      </c>
      <c r="I10" s="340">
        <v>2005</v>
      </c>
      <c r="J10" s="340">
        <v>56</v>
      </c>
      <c r="K10" s="340">
        <v>3500</v>
      </c>
      <c r="L10" s="340">
        <v>17</v>
      </c>
      <c r="M10" s="339">
        <f t="shared" si="0"/>
        <v>5505</v>
      </c>
      <c r="N10" s="339">
        <f t="shared" si="1"/>
        <v>73</v>
      </c>
      <c r="O10" s="340">
        <v>279</v>
      </c>
      <c r="P10" s="340">
        <v>222</v>
      </c>
      <c r="Q10" s="340"/>
      <c r="R10" s="340">
        <v>3</v>
      </c>
      <c r="S10" s="340"/>
      <c r="T10" s="340"/>
      <c r="U10" s="340"/>
      <c r="V10" s="340"/>
      <c r="W10" s="340"/>
      <c r="X10" s="339">
        <v>1</v>
      </c>
      <c r="Y10" s="339">
        <v>1</v>
      </c>
      <c r="Z10" s="339">
        <v>1</v>
      </c>
      <c r="AA10" s="339">
        <v>1</v>
      </c>
      <c r="AB10" s="339">
        <v>1</v>
      </c>
      <c r="AC10" s="352">
        <v>554.3767</v>
      </c>
      <c r="AD10" s="353">
        <v>11.85</v>
      </c>
    </row>
    <row r="11" spans="1:30" ht="24.75" customHeight="1">
      <c r="A11" s="340">
        <v>5</v>
      </c>
      <c r="B11" s="340" t="s">
        <v>861</v>
      </c>
      <c r="C11" s="340"/>
      <c r="D11" s="340"/>
      <c r="E11" s="339" t="s">
        <v>857</v>
      </c>
      <c r="F11" s="340">
        <v>10.71</v>
      </c>
      <c r="H11" s="340">
        <v>10.71</v>
      </c>
      <c r="I11" s="340"/>
      <c r="J11" s="340"/>
      <c r="K11" s="340"/>
      <c r="L11" s="340"/>
      <c r="M11" s="339">
        <f t="shared" si="0"/>
        <v>0</v>
      </c>
      <c r="N11" s="339">
        <f t="shared" si="1"/>
        <v>0</v>
      </c>
      <c r="O11" s="340">
        <v>3</v>
      </c>
      <c r="P11" s="340">
        <v>6</v>
      </c>
      <c r="Q11" s="340"/>
      <c r="R11" s="340">
        <v>1</v>
      </c>
      <c r="S11" s="340"/>
      <c r="T11" s="340"/>
      <c r="U11" s="340"/>
      <c r="V11" s="340"/>
      <c r="W11" s="340"/>
      <c r="X11" s="339">
        <v>1</v>
      </c>
      <c r="Y11" s="339">
        <v>1</v>
      </c>
      <c r="Z11" s="339">
        <v>1</v>
      </c>
      <c r="AA11" s="339">
        <v>1</v>
      </c>
      <c r="AB11" s="339">
        <v>1</v>
      </c>
      <c r="AC11" s="352"/>
      <c r="AD11" s="354"/>
    </row>
    <row r="12" spans="1:30" ht="24.75" customHeight="1">
      <c r="A12" s="340">
        <v>6</v>
      </c>
      <c r="B12" s="340" t="s">
        <v>862</v>
      </c>
      <c r="C12" s="340"/>
      <c r="D12" s="340"/>
      <c r="E12" s="339" t="s">
        <v>857</v>
      </c>
      <c r="F12" s="340"/>
      <c r="G12" s="340">
        <v>6.477</v>
      </c>
      <c r="H12" s="340">
        <v>6.477</v>
      </c>
      <c r="I12" s="340"/>
      <c r="J12" s="340"/>
      <c r="K12" s="340">
        <v>4500</v>
      </c>
      <c r="L12" s="340">
        <v>6</v>
      </c>
      <c r="M12" s="339">
        <f t="shared" si="0"/>
        <v>4500</v>
      </c>
      <c r="N12" s="339">
        <f t="shared" si="1"/>
        <v>6</v>
      </c>
      <c r="O12" s="340">
        <v>18</v>
      </c>
      <c r="P12" s="340">
        <v>18</v>
      </c>
      <c r="Q12" s="340"/>
      <c r="R12" s="340">
        <v>1</v>
      </c>
      <c r="S12" s="340"/>
      <c r="T12" s="340"/>
      <c r="U12" s="340"/>
      <c r="V12" s="340"/>
      <c r="W12" s="340"/>
      <c r="X12" s="339">
        <v>1</v>
      </c>
      <c r="Y12" s="339">
        <v>1</v>
      </c>
      <c r="Z12" s="339">
        <v>1</v>
      </c>
      <c r="AA12" s="339">
        <v>1</v>
      </c>
      <c r="AB12" s="339">
        <v>1</v>
      </c>
      <c r="AC12" s="352">
        <v>88.953</v>
      </c>
      <c r="AD12" s="354">
        <v>0</v>
      </c>
    </row>
    <row r="13" spans="1:30" ht="24.75" customHeight="1">
      <c r="A13" s="339">
        <v>7</v>
      </c>
      <c r="B13" s="340" t="s">
        <v>863</v>
      </c>
      <c r="C13" s="340"/>
      <c r="D13" s="340"/>
      <c r="E13" s="339" t="s">
        <v>857</v>
      </c>
      <c r="F13" s="340"/>
      <c r="G13" s="340">
        <v>4.972</v>
      </c>
      <c r="H13" s="340">
        <v>4.972</v>
      </c>
      <c r="I13" s="340"/>
      <c r="J13" s="340"/>
      <c r="K13" s="340">
        <v>1400</v>
      </c>
      <c r="L13" s="340">
        <v>4</v>
      </c>
      <c r="M13" s="339">
        <f t="shared" si="0"/>
        <v>1400</v>
      </c>
      <c r="N13" s="339">
        <f t="shared" si="1"/>
        <v>4</v>
      </c>
      <c r="O13" s="340">
        <v>12</v>
      </c>
      <c r="P13" s="340">
        <v>12</v>
      </c>
      <c r="Q13" s="340"/>
      <c r="R13" s="340">
        <v>1</v>
      </c>
      <c r="S13" s="340"/>
      <c r="T13" s="340"/>
      <c r="U13" s="340"/>
      <c r="V13" s="340"/>
      <c r="W13" s="340"/>
      <c r="X13" s="339">
        <v>1</v>
      </c>
      <c r="Y13" s="339">
        <v>1</v>
      </c>
      <c r="Z13" s="339">
        <v>1</v>
      </c>
      <c r="AA13" s="339">
        <v>1</v>
      </c>
      <c r="AB13" s="339">
        <v>1</v>
      </c>
      <c r="AC13" s="352">
        <v>112.89</v>
      </c>
      <c r="AD13" s="354">
        <v>0</v>
      </c>
    </row>
    <row r="14" spans="1:30" ht="24.75" customHeight="1">
      <c r="A14" s="340">
        <v>8</v>
      </c>
      <c r="B14" s="340" t="s">
        <v>864</v>
      </c>
      <c r="C14" s="339"/>
      <c r="D14" s="340"/>
      <c r="E14" s="339" t="s">
        <v>857</v>
      </c>
      <c r="F14" s="340">
        <v>3.3</v>
      </c>
      <c r="H14" s="340">
        <v>3.3</v>
      </c>
      <c r="I14" s="340"/>
      <c r="J14" s="340"/>
      <c r="K14" s="340">
        <v>800</v>
      </c>
      <c r="L14" s="340">
        <v>1</v>
      </c>
      <c r="M14" s="339">
        <f t="shared" si="0"/>
        <v>800</v>
      </c>
      <c r="N14" s="339">
        <f t="shared" si="1"/>
        <v>1</v>
      </c>
      <c r="O14" s="340">
        <v>3</v>
      </c>
      <c r="P14" s="340">
        <v>3</v>
      </c>
      <c r="Q14" s="340"/>
      <c r="R14" s="340">
        <v>1</v>
      </c>
      <c r="S14" s="340"/>
      <c r="T14" s="340"/>
      <c r="U14" s="340"/>
      <c r="V14" s="340"/>
      <c r="W14" s="340"/>
      <c r="X14" s="339">
        <v>1</v>
      </c>
      <c r="Y14" s="339">
        <v>1</v>
      </c>
      <c r="Z14" s="339">
        <v>1</v>
      </c>
      <c r="AA14" s="339">
        <v>1</v>
      </c>
      <c r="AB14" s="339">
        <v>1</v>
      </c>
      <c r="AC14" s="352">
        <v>15.37</v>
      </c>
      <c r="AD14" s="354">
        <v>0</v>
      </c>
    </row>
    <row r="15" spans="1:30" ht="24.7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52"/>
      <c r="AD15" s="354"/>
    </row>
    <row r="16" spans="1:30" ht="24.7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52"/>
      <c r="AD16" s="354"/>
    </row>
    <row r="17" spans="1:30" ht="24.7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52"/>
      <c r="AD17" s="354"/>
    </row>
    <row r="18" spans="1:30" ht="24.7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52"/>
      <c r="AD18" s="354"/>
    </row>
    <row r="19" spans="1:30" ht="24.75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52"/>
      <c r="AD19" s="354"/>
    </row>
    <row r="20" spans="1:30" ht="24.75" customHeight="1">
      <c r="A20" s="340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52"/>
      <c r="AD20" s="354"/>
    </row>
    <row r="21" spans="1:30" ht="24.75" customHeight="1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52"/>
      <c r="AD21" s="354"/>
    </row>
    <row r="22" spans="1:30" ht="24.75" customHeight="1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52"/>
      <c r="AD22" s="354"/>
    </row>
    <row r="23" spans="1:30" ht="24.75" customHeight="1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52"/>
      <c r="AD23" s="354"/>
    </row>
    <row r="24" spans="1:30" ht="24.75" customHeight="1">
      <c r="A24" s="341" t="s">
        <v>122</v>
      </c>
      <c r="B24" s="335"/>
      <c r="C24" s="340"/>
      <c r="D24" s="340"/>
      <c r="E24" s="340"/>
      <c r="F24" s="340">
        <f>SUM(F7:F23)</f>
        <v>349.69599999999997</v>
      </c>
      <c r="G24" s="340">
        <f>SUM(G12:G23)</f>
        <v>11.449000000000002</v>
      </c>
      <c r="H24" s="340">
        <f aca="true" t="shared" si="2" ref="H24:AC24">SUM(H7:H23)</f>
        <v>361.1449999999999</v>
      </c>
      <c r="I24" s="340">
        <f t="shared" si="2"/>
        <v>8818</v>
      </c>
      <c r="J24" s="340">
        <f t="shared" si="2"/>
        <v>160</v>
      </c>
      <c r="K24" s="340">
        <f t="shared" si="2"/>
        <v>24695</v>
      </c>
      <c r="L24" s="340">
        <f t="shared" si="2"/>
        <v>109</v>
      </c>
      <c r="M24" s="340">
        <f t="shared" si="2"/>
        <v>33513</v>
      </c>
      <c r="N24" s="340">
        <f t="shared" si="2"/>
        <v>269</v>
      </c>
      <c r="O24" s="340">
        <f t="shared" si="2"/>
        <v>996</v>
      </c>
      <c r="P24" s="340">
        <f t="shared" si="2"/>
        <v>849</v>
      </c>
      <c r="Q24" s="340">
        <f t="shared" si="2"/>
        <v>0</v>
      </c>
      <c r="R24" s="340">
        <f t="shared" si="2"/>
        <v>18</v>
      </c>
      <c r="S24" s="340">
        <f t="shared" si="2"/>
        <v>0</v>
      </c>
      <c r="T24" s="340">
        <f t="shared" si="2"/>
        <v>0</v>
      </c>
      <c r="U24" s="340">
        <f t="shared" si="2"/>
        <v>0</v>
      </c>
      <c r="V24" s="340">
        <f t="shared" si="2"/>
        <v>0</v>
      </c>
      <c r="W24" s="340">
        <f t="shared" si="2"/>
        <v>0</v>
      </c>
      <c r="X24" s="340">
        <f t="shared" si="2"/>
        <v>8</v>
      </c>
      <c r="Y24" s="340">
        <f t="shared" si="2"/>
        <v>8</v>
      </c>
      <c r="Z24" s="340">
        <f t="shared" si="2"/>
        <v>8</v>
      </c>
      <c r="AA24" s="340">
        <f t="shared" si="2"/>
        <v>8</v>
      </c>
      <c r="AB24" s="340">
        <f t="shared" si="2"/>
        <v>8</v>
      </c>
      <c r="AC24" s="352">
        <f t="shared" si="2"/>
        <v>2375.8543999999997</v>
      </c>
      <c r="AD24" s="354">
        <v>8.03</v>
      </c>
    </row>
    <row r="25" spans="1:30" ht="24.75" customHeight="1">
      <c r="A25" s="342" t="s">
        <v>209</v>
      </c>
      <c r="B25" s="343"/>
      <c r="C25" s="344"/>
      <c r="D25" s="344"/>
      <c r="E25" s="344"/>
      <c r="F25" s="344">
        <f>F24</f>
        <v>349.69599999999997</v>
      </c>
      <c r="G25" s="344">
        <f aca="true" t="shared" si="3" ref="G25:AD25">G24</f>
        <v>11.449000000000002</v>
      </c>
      <c r="H25" s="344">
        <f t="shared" si="3"/>
        <v>361.1449999999999</v>
      </c>
      <c r="I25" s="344">
        <f t="shared" si="3"/>
        <v>8818</v>
      </c>
      <c r="J25" s="344">
        <f t="shared" si="3"/>
        <v>160</v>
      </c>
      <c r="K25" s="344">
        <f t="shared" si="3"/>
        <v>24695</v>
      </c>
      <c r="L25" s="344">
        <f t="shared" si="3"/>
        <v>109</v>
      </c>
      <c r="M25" s="344">
        <f t="shared" si="3"/>
        <v>33513</v>
      </c>
      <c r="N25" s="344">
        <f t="shared" si="3"/>
        <v>269</v>
      </c>
      <c r="O25" s="344">
        <f t="shared" si="3"/>
        <v>996</v>
      </c>
      <c r="P25" s="344">
        <f t="shared" si="3"/>
        <v>849</v>
      </c>
      <c r="Q25" s="344">
        <f t="shared" si="3"/>
        <v>0</v>
      </c>
      <c r="R25" s="344">
        <f t="shared" si="3"/>
        <v>18</v>
      </c>
      <c r="S25" s="344">
        <f t="shared" si="3"/>
        <v>0</v>
      </c>
      <c r="T25" s="344">
        <f t="shared" si="3"/>
        <v>0</v>
      </c>
      <c r="U25" s="344">
        <f t="shared" si="3"/>
        <v>0</v>
      </c>
      <c r="V25" s="344">
        <f t="shared" si="3"/>
        <v>0</v>
      </c>
      <c r="W25" s="344">
        <f t="shared" si="3"/>
        <v>0</v>
      </c>
      <c r="X25" s="344">
        <f t="shared" si="3"/>
        <v>8</v>
      </c>
      <c r="Y25" s="344">
        <f t="shared" si="3"/>
        <v>8</v>
      </c>
      <c r="Z25" s="344">
        <f t="shared" si="3"/>
        <v>8</v>
      </c>
      <c r="AA25" s="344">
        <f t="shared" si="3"/>
        <v>8</v>
      </c>
      <c r="AB25" s="344">
        <f t="shared" si="3"/>
        <v>8</v>
      </c>
      <c r="AC25" s="355">
        <f t="shared" si="3"/>
        <v>2375.8543999999997</v>
      </c>
      <c r="AD25" s="356">
        <f t="shared" si="3"/>
        <v>8.03</v>
      </c>
    </row>
    <row r="26" spans="1:30" ht="15">
      <c r="A26" s="345" t="s">
        <v>865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57"/>
    </row>
    <row r="27" spans="4:26" ht="15">
      <c r="D27" s="294" t="s">
        <v>176</v>
      </c>
      <c r="O27" s="294" t="s">
        <v>177</v>
      </c>
      <c r="Z27" s="294" t="s">
        <v>866</v>
      </c>
    </row>
  </sheetData>
  <sheetProtection/>
  <mergeCells count="23">
    <mergeCell ref="A1:AD1"/>
    <mergeCell ref="C3:E3"/>
    <mergeCell ref="F3:H3"/>
    <mergeCell ref="I3:N3"/>
    <mergeCell ref="Q3:T3"/>
    <mergeCell ref="U3:V3"/>
    <mergeCell ref="W3:Y3"/>
    <mergeCell ref="AA3:AB3"/>
    <mergeCell ref="A24:B24"/>
    <mergeCell ref="A25:B25"/>
    <mergeCell ref="A26:AD26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A1" sqref="A1:AE1"/>
    </sheetView>
  </sheetViews>
  <sheetFormatPr defaultColWidth="9.00390625" defaultRowHeight="14.25"/>
  <cols>
    <col min="1" max="1" width="9.00390625" style="294" customWidth="1"/>
    <col min="2" max="2" width="13.00390625" style="294" customWidth="1"/>
    <col min="3" max="16384" width="9.00390625" style="294" customWidth="1"/>
  </cols>
  <sheetData>
    <row r="1" spans="1:30" ht="21">
      <c r="A1" s="295" t="s">
        <v>97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</row>
    <row r="2" spans="1:30" ht="15">
      <c r="A2" s="297" t="s">
        <v>867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 t="s">
        <v>868</v>
      </c>
      <c r="W2" s="297"/>
      <c r="X2" s="297"/>
      <c r="Y2" s="297"/>
      <c r="Z2" s="297"/>
      <c r="AA2" s="297"/>
      <c r="AB2" s="297" t="s">
        <v>101</v>
      </c>
      <c r="AC2" s="297"/>
      <c r="AD2" s="297"/>
    </row>
    <row r="3" spans="1:30" ht="15">
      <c r="A3" s="298" t="s">
        <v>102</v>
      </c>
      <c r="B3" s="299" t="s">
        <v>103</v>
      </c>
      <c r="C3" s="299" t="s">
        <v>104</v>
      </c>
      <c r="D3" s="299"/>
      <c r="E3" s="299"/>
      <c r="F3" s="300" t="s">
        <v>105</v>
      </c>
      <c r="G3" s="301"/>
      <c r="H3" s="301"/>
      <c r="I3" s="301" t="s">
        <v>106</v>
      </c>
      <c r="J3" s="301"/>
      <c r="K3" s="301"/>
      <c r="L3" s="301"/>
      <c r="M3" s="301"/>
      <c r="N3" s="301"/>
      <c r="O3" s="298" t="s">
        <v>107</v>
      </c>
      <c r="P3" s="298" t="s">
        <v>108</v>
      </c>
      <c r="Q3" s="324" t="s">
        <v>109</v>
      </c>
      <c r="R3" s="325"/>
      <c r="S3" s="325"/>
      <c r="T3" s="300"/>
      <c r="U3" s="301" t="s">
        <v>110</v>
      </c>
      <c r="V3" s="301"/>
      <c r="W3" s="324" t="s">
        <v>111</v>
      </c>
      <c r="X3" s="325"/>
      <c r="Y3" s="300"/>
      <c r="Z3" s="298" t="s">
        <v>112</v>
      </c>
      <c r="AA3" s="301" t="s">
        <v>113</v>
      </c>
      <c r="AB3" s="301"/>
      <c r="AC3" s="298" t="s">
        <v>114</v>
      </c>
      <c r="AD3" s="298" t="s">
        <v>115</v>
      </c>
    </row>
    <row r="4" spans="1:30" ht="15">
      <c r="A4" s="302"/>
      <c r="B4" s="299"/>
      <c r="C4" s="299" t="s">
        <v>116</v>
      </c>
      <c r="D4" s="299" t="s">
        <v>117</v>
      </c>
      <c r="E4" s="299" t="s">
        <v>118</v>
      </c>
      <c r="F4" s="303" t="s">
        <v>119</v>
      </c>
      <c r="G4" s="304"/>
      <c r="H4" s="304"/>
      <c r="I4" s="301" t="s">
        <v>120</v>
      </c>
      <c r="J4" s="301"/>
      <c r="K4" s="301" t="s">
        <v>121</v>
      </c>
      <c r="L4" s="301"/>
      <c r="M4" s="301" t="s">
        <v>122</v>
      </c>
      <c r="N4" s="301"/>
      <c r="O4" s="302"/>
      <c r="P4" s="322" t="s">
        <v>123</v>
      </c>
      <c r="Q4" s="298"/>
      <c r="R4" s="298"/>
      <c r="S4" s="298"/>
      <c r="T4" s="298"/>
      <c r="U4" s="301" t="s">
        <v>124</v>
      </c>
      <c r="V4" s="301"/>
      <c r="W4" s="298" t="s">
        <v>125</v>
      </c>
      <c r="X4" s="298" t="s">
        <v>126</v>
      </c>
      <c r="Y4" s="298" t="s">
        <v>126</v>
      </c>
      <c r="Z4" s="302" t="s">
        <v>127</v>
      </c>
      <c r="AA4" s="301" t="s">
        <v>128</v>
      </c>
      <c r="AB4" s="301"/>
      <c r="AC4" s="305" t="s">
        <v>129</v>
      </c>
      <c r="AD4" s="305" t="s">
        <v>130</v>
      </c>
    </row>
    <row r="5" spans="1:30" ht="15">
      <c r="A5" s="302"/>
      <c r="B5" s="299"/>
      <c r="C5" s="299"/>
      <c r="D5" s="299"/>
      <c r="E5" s="299"/>
      <c r="F5" s="303"/>
      <c r="G5" s="304"/>
      <c r="H5" s="304"/>
      <c r="I5" s="301"/>
      <c r="J5" s="301"/>
      <c r="K5" s="301"/>
      <c r="L5" s="301"/>
      <c r="M5" s="301"/>
      <c r="N5" s="301"/>
      <c r="O5" s="305" t="s">
        <v>131</v>
      </c>
      <c r="P5" s="319" t="s">
        <v>132</v>
      </c>
      <c r="Q5" s="302"/>
      <c r="R5" s="302" t="s">
        <v>133</v>
      </c>
      <c r="S5" s="302"/>
      <c r="T5" s="302"/>
      <c r="U5" s="301"/>
      <c r="V5" s="301"/>
      <c r="W5" s="302"/>
      <c r="X5" s="302"/>
      <c r="Y5" s="302"/>
      <c r="Z5" s="305" t="s">
        <v>134</v>
      </c>
      <c r="AA5" s="301"/>
      <c r="AB5" s="301"/>
      <c r="AC5" s="298" t="s">
        <v>135</v>
      </c>
      <c r="AD5" s="329" t="s">
        <v>136</v>
      </c>
    </row>
    <row r="6" spans="1:30" ht="15">
      <c r="A6" s="305" t="s">
        <v>137</v>
      </c>
      <c r="B6" s="299"/>
      <c r="C6" s="299"/>
      <c r="D6" s="299"/>
      <c r="E6" s="299"/>
      <c r="F6" s="300" t="s">
        <v>120</v>
      </c>
      <c r="G6" s="301" t="s">
        <v>121</v>
      </c>
      <c r="H6" s="301" t="s">
        <v>122</v>
      </c>
      <c r="I6" s="301" t="s">
        <v>138</v>
      </c>
      <c r="J6" s="301" t="s">
        <v>139</v>
      </c>
      <c r="K6" s="301" t="s">
        <v>138</v>
      </c>
      <c r="L6" s="301" t="s">
        <v>139</v>
      </c>
      <c r="M6" s="301" t="s">
        <v>138</v>
      </c>
      <c r="N6" s="301" t="s">
        <v>139</v>
      </c>
      <c r="O6" s="301" t="s">
        <v>128</v>
      </c>
      <c r="P6" s="301" t="s">
        <v>128</v>
      </c>
      <c r="Q6" s="326" t="s">
        <v>140</v>
      </c>
      <c r="R6" s="305" t="s">
        <v>141</v>
      </c>
      <c r="S6" s="305" t="s">
        <v>142</v>
      </c>
      <c r="T6" s="305" t="s">
        <v>122</v>
      </c>
      <c r="U6" s="301" t="s">
        <v>138</v>
      </c>
      <c r="V6" s="301" t="s">
        <v>139</v>
      </c>
      <c r="W6" s="305"/>
      <c r="X6" s="305" t="s">
        <v>143</v>
      </c>
      <c r="Y6" s="305" t="s">
        <v>144</v>
      </c>
      <c r="Z6" s="301" t="s">
        <v>145</v>
      </c>
      <c r="AA6" s="304" t="s">
        <v>146</v>
      </c>
      <c r="AB6" s="304" t="s">
        <v>147</v>
      </c>
      <c r="AC6" s="305" t="s">
        <v>148</v>
      </c>
      <c r="AD6" s="326"/>
    </row>
    <row r="7" spans="1:30" ht="24.75" customHeight="1">
      <c r="A7" s="306">
        <v>1</v>
      </c>
      <c r="B7" s="307" t="s">
        <v>869</v>
      </c>
      <c r="C7" s="306" t="s">
        <v>150</v>
      </c>
      <c r="D7" s="306"/>
      <c r="E7" s="306"/>
      <c r="F7" s="308">
        <v>5.24</v>
      </c>
      <c r="G7" s="308">
        <v>0.39</v>
      </c>
      <c r="H7" s="306">
        <f>F7+G7</f>
        <v>5.63</v>
      </c>
      <c r="I7" s="308">
        <v>300</v>
      </c>
      <c r="J7" s="308">
        <v>2</v>
      </c>
      <c r="K7" s="308">
        <v>652</v>
      </c>
      <c r="L7" s="308">
        <v>10</v>
      </c>
      <c r="M7" s="306">
        <f>I7+K7</f>
        <v>952</v>
      </c>
      <c r="N7" s="306">
        <f>J7+L7</f>
        <v>12</v>
      </c>
      <c r="O7" s="306">
        <v>66</v>
      </c>
      <c r="P7" s="306">
        <v>66</v>
      </c>
      <c r="Q7" s="306"/>
      <c r="R7" s="308">
        <v>2</v>
      </c>
      <c r="S7" s="306"/>
      <c r="T7" s="306">
        <f>S7+R7+Q7</f>
        <v>2</v>
      </c>
      <c r="U7" s="306"/>
      <c r="V7" s="306"/>
      <c r="W7" s="327">
        <v>2</v>
      </c>
      <c r="X7" s="327">
        <v>19</v>
      </c>
      <c r="Y7" s="327">
        <v>1</v>
      </c>
      <c r="Z7" s="327">
        <v>16</v>
      </c>
      <c r="AA7" s="306"/>
      <c r="AB7" s="306"/>
      <c r="AC7" s="306">
        <v>115.2528</v>
      </c>
      <c r="AD7" s="306">
        <v>9.1</v>
      </c>
    </row>
    <row r="8" spans="1:30" ht="24.75" customHeight="1">
      <c r="A8" s="308">
        <v>2</v>
      </c>
      <c r="B8" s="307" t="s">
        <v>870</v>
      </c>
      <c r="C8" s="308" t="s">
        <v>150</v>
      </c>
      <c r="D8" s="306"/>
      <c r="E8" s="308"/>
      <c r="F8" s="308">
        <v>12.71</v>
      </c>
      <c r="G8" s="308">
        <v>0.97</v>
      </c>
      <c r="H8" s="306">
        <f aca="true" t="shared" si="0" ref="H8:H18">F8+G8</f>
        <v>13.680000000000001</v>
      </c>
      <c r="I8" s="308">
        <v>3185</v>
      </c>
      <c r="J8" s="308">
        <v>15</v>
      </c>
      <c r="K8" s="308">
        <v>4358</v>
      </c>
      <c r="L8" s="308">
        <v>33</v>
      </c>
      <c r="M8" s="306">
        <f aca="true" t="shared" si="1" ref="M8:N18">I8+K8</f>
        <v>7543</v>
      </c>
      <c r="N8" s="306">
        <f t="shared" si="1"/>
        <v>48</v>
      </c>
      <c r="O8" s="308">
        <v>111</v>
      </c>
      <c r="P8" s="308">
        <v>114</v>
      </c>
      <c r="Q8" s="308"/>
      <c r="R8" s="308">
        <v>3</v>
      </c>
      <c r="S8" s="308"/>
      <c r="T8" s="306">
        <f aca="true" t="shared" si="2" ref="T8:T18">S8+R8+Q8</f>
        <v>3</v>
      </c>
      <c r="U8" s="308"/>
      <c r="V8" s="308"/>
      <c r="W8" s="328">
        <v>2</v>
      </c>
      <c r="X8" s="328">
        <v>14</v>
      </c>
      <c r="Y8" s="328">
        <v>5</v>
      </c>
      <c r="Z8" s="328">
        <v>15</v>
      </c>
      <c r="AA8" s="308"/>
      <c r="AB8" s="308"/>
      <c r="AC8" s="308">
        <v>689.9328</v>
      </c>
      <c r="AD8" s="308">
        <v>8.53</v>
      </c>
    </row>
    <row r="9" spans="1:30" ht="24.75" customHeight="1">
      <c r="A9" s="306">
        <v>3</v>
      </c>
      <c r="B9" s="307" t="s">
        <v>871</v>
      </c>
      <c r="C9" s="308"/>
      <c r="D9" s="306" t="s">
        <v>150</v>
      </c>
      <c r="E9" s="308"/>
      <c r="F9" s="309">
        <v>72.35</v>
      </c>
      <c r="G9" s="309">
        <v>4.5</v>
      </c>
      <c r="H9" s="306">
        <f t="shared" si="0"/>
        <v>76.85</v>
      </c>
      <c r="I9" s="323">
        <v>2220</v>
      </c>
      <c r="J9" s="323">
        <v>53</v>
      </c>
      <c r="K9" s="308">
        <v>5317</v>
      </c>
      <c r="L9" s="308">
        <v>34</v>
      </c>
      <c r="M9" s="306">
        <f t="shared" si="1"/>
        <v>7537</v>
      </c>
      <c r="N9" s="306">
        <f t="shared" si="1"/>
        <v>87</v>
      </c>
      <c r="O9" s="308">
        <v>276</v>
      </c>
      <c r="P9" s="308">
        <v>291</v>
      </c>
      <c r="Q9" s="308"/>
      <c r="R9" s="308">
        <v>5</v>
      </c>
      <c r="S9" s="308"/>
      <c r="T9" s="306">
        <f t="shared" si="2"/>
        <v>5</v>
      </c>
      <c r="U9" s="308"/>
      <c r="V9" s="308"/>
      <c r="W9" s="327">
        <v>4</v>
      </c>
      <c r="X9" s="327">
        <v>79</v>
      </c>
      <c r="Y9" s="327">
        <v>9</v>
      </c>
      <c r="Z9" s="327">
        <v>83</v>
      </c>
      <c r="AA9" s="308"/>
      <c r="AB9" s="308"/>
      <c r="AC9" s="308">
        <v>426.0141</v>
      </c>
      <c r="AD9" s="308">
        <v>9.18</v>
      </c>
    </row>
    <row r="10" spans="1:30" ht="24.75" customHeight="1">
      <c r="A10" s="308">
        <v>4</v>
      </c>
      <c r="B10" s="307" t="s">
        <v>872</v>
      </c>
      <c r="C10" s="308"/>
      <c r="D10" s="306" t="s">
        <v>150</v>
      </c>
      <c r="E10" s="308"/>
      <c r="F10" s="308">
        <v>21.252</v>
      </c>
      <c r="G10" s="308">
        <v>5.6</v>
      </c>
      <c r="H10" s="306">
        <f t="shared" si="0"/>
        <v>26.851999999999997</v>
      </c>
      <c r="I10" s="308">
        <v>435</v>
      </c>
      <c r="J10" s="308">
        <v>12</v>
      </c>
      <c r="K10" s="308">
        <v>680</v>
      </c>
      <c r="L10" s="308">
        <v>10</v>
      </c>
      <c r="M10" s="306">
        <f t="shared" si="1"/>
        <v>1115</v>
      </c>
      <c r="N10" s="306">
        <f t="shared" si="1"/>
        <v>22</v>
      </c>
      <c r="O10" s="308">
        <v>108</v>
      </c>
      <c r="P10" s="308">
        <v>117</v>
      </c>
      <c r="Q10" s="308"/>
      <c r="R10" s="308">
        <v>2</v>
      </c>
      <c r="S10" s="308"/>
      <c r="T10" s="306">
        <f t="shared" si="2"/>
        <v>2</v>
      </c>
      <c r="U10" s="308"/>
      <c r="V10" s="308"/>
      <c r="W10" s="327">
        <v>8</v>
      </c>
      <c r="X10" s="327">
        <v>21</v>
      </c>
      <c r="Y10" s="327">
        <v>3</v>
      </c>
      <c r="Z10" s="327">
        <v>29</v>
      </c>
      <c r="AA10" s="308"/>
      <c r="AB10" s="308"/>
      <c r="AC10" s="308">
        <v>89.307</v>
      </c>
      <c r="AD10" s="308">
        <v>9.93</v>
      </c>
    </row>
    <row r="11" spans="1:30" ht="24.75" customHeight="1">
      <c r="A11" s="306">
        <v>5</v>
      </c>
      <c r="B11" s="307" t="s">
        <v>873</v>
      </c>
      <c r="C11" s="306"/>
      <c r="D11" s="306" t="s">
        <v>150</v>
      </c>
      <c r="E11" s="308"/>
      <c r="F11" s="308">
        <v>11.799</v>
      </c>
      <c r="G11" s="308"/>
      <c r="H11" s="306">
        <f t="shared" si="0"/>
        <v>11.799</v>
      </c>
      <c r="I11" s="308">
        <v>60</v>
      </c>
      <c r="J11" s="308">
        <v>4</v>
      </c>
      <c r="K11" s="308">
        <v>20</v>
      </c>
      <c r="L11" s="308">
        <v>1</v>
      </c>
      <c r="M11" s="306">
        <f t="shared" si="1"/>
        <v>80</v>
      </c>
      <c r="N11" s="306">
        <f t="shared" si="1"/>
        <v>5</v>
      </c>
      <c r="O11" s="308">
        <v>27</v>
      </c>
      <c r="P11" s="308">
        <v>27</v>
      </c>
      <c r="Q11" s="308"/>
      <c r="R11" s="308">
        <v>1</v>
      </c>
      <c r="S11" s="308"/>
      <c r="T11" s="306">
        <f t="shared" si="2"/>
        <v>1</v>
      </c>
      <c r="U11" s="308"/>
      <c r="V11" s="308"/>
      <c r="W11" s="308">
        <v>6</v>
      </c>
      <c r="X11" s="308">
        <v>3</v>
      </c>
      <c r="Y11" s="308">
        <v>1</v>
      </c>
      <c r="Z11" s="308"/>
      <c r="AA11" s="308"/>
      <c r="AB11" s="308"/>
      <c r="AC11" s="308">
        <v>0</v>
      </c>
      <c r="AD11" s="308"/>
    </row>
    <row r="12" spans="1:30" ht="24.75" customHeight="1">
      <c r="A12" s="308">
        <v>6</v>
      </c>
      <c r="B12" s="307" t="s">
        <v>874</v>
      </c>
      <c r="C12" s="308"/>
      <c r="D12" s="306" t="s">
        <v>150</v>
      </c>
      <c r="E12" s="308"/>
      <c r="F12" s="308">
        <v>7.329</v>
      </c>
      <c r="G12" s="308"/>
      <c r="H12" s="306">
        <f t="shared" si="0"/>
        <v>7.329</v>
      </c>
      <c r="I12" s="308">
        <v>50</v>
      </c>
      <c r="J12" s="308">
        <v>2</v>
      </c>
      <c r="K12" s="308">
        <v>250</v>
      </c>
      <c r="L12" s="308">
        <v>2</v>
      </c>
      <c r="M12" s="306">
        <f t="shared" si="1"/>
        <v>300</v>
      </c>
      <c r="N12" s="306">
        <f t="shared" si="1"/>
        <v>4</v>
      </c>
      <c r="O12" s="308">
        <v>30</v>
      </c>
      <c r="P12" s="308">
        <v>30</v>
      </c>
      <c r="Q12" s="308"/>
      <c r="R12" s="308">
        <v>1</v>
      </c>
      <c r="S12" s="308"/>
      <c r="T12" s="306">
        <f t="shared" si="2"/>
        <v>1</v>
      </c>
      <c r="U12" s="308"/>
      <c r="V12" s="308"/>
      <c r="W12" s="308">
        <v>1</v>
      </c>
      <c r="X12" s="308">
        <v>7</v>
      </c>
      <c r="Y12" s="308">
        <v>1</v>
      </c>
      <c r="Z12" s="308"/>
      <c r="AA12" s="308"/>
      <c r="AB12" s="308"/>
      <c r="AC12" s="308">
        <v>0</v>
      </c>
      <c r="AD12" s="308"/>
    </row>
    <row r="13" spans="1:30" ht="24.75" customHeight="1">
      <c r="A13" s="306">
        <v>7</v>
      </c>
      <c r="B13" s="307" t="s">
        <v>875</v>
      </c>
      <c r="C13" s="306"/>
      <c r="D13" s="306" t="s">
        <v>150</v>
      </c>
      <c r="E13" s="308"/>
      <c r="F13" s="308">
        <v>20.69</v>
      </c>
      <c r="G13" s="308"/>
      <c r="H13" s="306">
        <f t="shared" si="0"/>
        <v>20.69</v>
      </c>
      <c r="I13" s="308">
        <v>175</v>
      </c>
      <c r="J13" s="308">
        <v>11</v>
      </c>
      <c r="K13" s="308">
        <v>50</v>
      </c>
      <c r="L13" s="308">
        <v>1</v>
      </c>
      <c r="M13" s="306">
        <f t="shared" si="1"/>
        <v>225</v>
      </c>
      <c r="N13" s="306">
        <f t="shared" si="1"/>
        <v>12</v>
      </c>
      <c r="O13" s="308">
        <v>52</v>
      </c>
      <c r="P13" s="308">
        <v>43</v>
      </c>
      <c r="Q13" s="308"/>
      <c r="R13" s="308">
        <v>2</v>
      </c>
      <c r="S13" s="308"/>
      <c r="T13" s="306">
        <f t="shared" si="2"/>
        <v>2</v>
      </c>
      <c r="U13" s="308"/>
      <c r="V13" s="308"/>
      <c r="W13" s="308"/>
      <c r="X13" s="308">
        <v>8</v>
      </c>
      <c r="Y13" s="308"/>
      <c r="Z13" s="308"/>
      <c r="AA13" s="308"/>
      <c r="AB13" s="308"/>
      <c r="AC13" s="308">
        <v>51.3398</v>
      </c>
      <c r="AD13" s="308">
        <v>9.74</v>
      </c>
    </row>
    <row r="14" spans="1:30" ht="24.75" customHeight="1">
      <c r="A14" s="308">
        <v>8</v>
      </c>
      <c r="B14" s="307" t="s">
        <v>876</v>
      </c>
      <c r="C14" s="308"/>
      <c r="D14" s="308" t="s">
        <v>150</v>
      </c>
      <c r="E14" s="308"/>
      <c r="F14" s="308">
        <v>14.488</v>
      </c>
      <c r="G14" s="310">
        <v>1.5</v>
      </c>
      <c r="H14" s="306">
        <f t="shared" si="0"/>
        <v>15.988</v>
      </c>
      <c r="I14" s="308">
        <v>60</v>
      </c>
      <c r="J14" s="308">
        <v>3</v>
      </c>
      <c r="K14" s="308">
        <v>1250</v>
      </c>
      <c r="L14" s="308">
        <v>4</v>
      </c>
      <c r="M14" s="306">
        <f t="shared" si="1"/>
        <v>1310</v>
      </c>
      <c r="N14" s="306">
        <f t="shared" si="1"/>
        <v>7</v>
      </c>
      <c r="O14" s="306">
        <v>33</v>
      </c>
      <c r="P14" s="306">
        <v>36</v>
      </c>
      <c r="Q14" s="308"/>
      <c r="R14" s="308">
        <v>2</v>
      </c>
      <c r="S14" s="308"/>
      <c r="T14" s="306">
        <f t="shared" si="2"/>
        <v>2</v>
      </c>
      <c r="U14" s="308"/>
      <c r="V14" s="308"/>
      <c r="W14" s="306">
        <v>1</v>
      </c>
      <c r="X14" s="306">
        <v>6</v>
      </c>
      <c r="Y14" s="306">
        <v>2</v>
      </c>
      <c r="Z14" s="306">
        <v>1</v>
      </c>
      <c r="AA14" s="308"/>
      <c r="AB14" s="308"/>
      <c r="AC14" s="308">
        <v>113.8967</v>
      </c>
      <c r="AD14" s="308">
        <v>8.98</v>
      </c>
    </row>
    <row r="15" spans="1:30" ht="24.75" customHeight="1">
      <c r="A15" s="306">
        <v>9</v>
      </c>
      <c r="B15" s="307" t="s">
        <v>877</v>
      </c>
      <c r="C15" s="308"/>
      <c r="D15" s="308" t="s">
        <v>150</v>
      </c>
      <c r="E15" s="308"/>
      <c r="F15" s="308">
        <v>29.905</v>
      </c>
      <c r="G15" s="308"/>
      <c r="H15" s="306">
        <f t="shared" si="0"/>
        <v>29.905</v>
      </c>
      <c r="I15" s="308">
        <v>365</v>
      </c>
      <c r="J15" s="308">
        <v>19</v>
      </c>
      <c r="K15" s="308">
        <v>200</v>
      </c>
      <c r="L15" s="308">
        <v>4</v>
      </c>
      <c r="M15" s="306">
        <f t="shared" si="1"/>
        <v>565</v>
      </c>
      <c r="N15" s="306">
        <f t="shared" si="1"/>
        <v>23</v>
      </c>
      <c r="O15" s="308">
        <v>84</v>
      </c>
      <c r="P15" s="308">
        <v>81</v>
      </c>
      <c r="Q15" s="308"/>
      <c r="R15" s="308">
        <v>1</v>
      </c>
      <c r="S15" s="308"/>
      <c r="T15" s="306">
        <f t="shared" si="2"/>
        <v>1</v>
      </c>
      <c r="U15" s="308"/>
      <c r="V15" s="308"/>
      <c r="W15" s="306">
        <v>100</v>
      </c>
      <c r="X15" s="306">
        <v>25</v>
      </c>
      <c r="Y15" s="306">
        <v>2</v>
      </c>
      <c r="Z15" s="308">
        <v>30</v>
      </c>
      <c r="AA15" s="308"/>
      <c r="AB15" s="308"/>
      <c r="AC15" s="308">
        <v>53.1859</v>
      </c>
      <c r="AD15" s="308">
        <v>7.34</v>
      </c>
    </row>
    <row r="16" spans="1:30" ht="24.75" customHeight="1">
      <c r="A16" s="308">
        <v>10</v>
      </c>
      <c r="B16" s="307" t="s">
        <v>878</v>
      </c>
      <c r="C16" s="308"/>
      <c r="D16" s="308" t="s">
        <v>150</v>
      </c>
      <c r="E16" s="308"/>
      <c r="F16" s="308">
        <v>103.3</v>
      </c>
      <c r="G16" s="308">
        <v>2.52</v>
      </c>
      <c r="H16" s="306">
        <f t="shared" si="0"/>
        <v>105.82</v>
      </c>
      <c r="I16" s="308">
        <v>1196</v>
      </c>
      <c r="J16" s="308">
        <v>40</v>
      </c>
      <c r="K16" s="308">
        <v>2775</v>
      </c>
      <c r="L16" s="308">
        <v>15</v>
      </c>
      <c r="M16" s="306">
        <f t="shared" si="1"/>
        <v>3971</v>
      </c>
      <c r="N16" s="306">
        <f t="shared" si="1"/>
        <v>55</v>
      </c>
      <c r="O16" s="308">
        <v>207</v>
      </c>
      <c r="P16" s="308">
        <v>198</v>
      </c>
      <c r="Q16" s="308"/>
      <c r="R16" s="308">
        <v>4</v>
      </c>
      <c r="S16" s="308"/>
      <c r="T16" s="306">
        <f t="shared" si="2"/>
        <v>4</v>
      </c>
      <c r="U16" s="308"/>
      <c r="V16" s="308"/>
      <c r="W16" s="308">
        <v>42</v>
      </c>
      <c r="X16" s="308">
        <v>10</v>
      </c>
      <c r="Y16" s="308">
        <v>2</v>
      </c>
      <c r="Z16" s="308">
        <v>7</v>
      </c>
      <c r="AA16" s="308"/>
      <c r="AB16" s="308"/>
      <c r="AC16" s="308">
        <v>216.2182</v>
      </c>
      <c r="AD16" s="308">
        <v>8.56</v>
      </c>
    </row>
    <row r="17" spans="1:30" ht="24.75" customHeight="1">
      <c r="A17" s="306">
        <v>11</v>
      </c>
      <c r="B17" s="307" t="s">
        <v>879</v>
      </c>
      <c r="C17" s="308"/>
      <c r="D17" s="308" t="s">
        <v>150</v>
      </c>
      <c r="E17" s="308"/>
      <c r="F17" s="308">
        <v>53.58</v>
      </c>
      <c r="G17" s="308">
        <v>0.12</v>
      </c>
      <c r="H17" s="306">
        <f t="shared" si="0"/>
        <v>53.699999999999996</v>
      </c>
      <c r="I17" s="306">
        <v>1223</v>
      </c>
      <c r="J17" s="306">
        <v>30</v>
      </c>
      <c r="K17" s="306">
        <v>523</v>
      </c>
      <c r="L17" s="306">
        <v>8</v>
      </c>
      <c r="M17" s="306">
        <f t="shared" si="1"/>
        <v>1746</v>
      </c>
      <c r="N17" s="306">
        <f t="shared" si="1"/>
        <v>38</v>
      </c>
      <c r="O17" s="308">
        <v>117</v>
      </c>
      <c r="P17" s="308">
        <v>117</v>
      </c>
      <c r="Q17" s="308"/>
      <c r="R17" s="308">
        <v>1</v>
      </c>
      <c r="S17" s="308"/>
      <c r="T17" s="306">
        <f t="shared" si="2"/>
        <v>1</v>
      </c>
      <c r="U17" s="308"/>
      <c r="V17" s="308"/>
      <c r="W17" s="306">
        <v>4</v>
      </c>
      <c r="X17" s="306">
        <v>28</v>
      </c>
      <c r="Y17" s="306"/>
      <c r="Z17" s="308">
        <v>30</v>
      </c>
      <c r="AA17" s="308"/>
      <c r="AB17" s="308"/>
      <c r="AC17" s="308">
        <v>160.9667</v>
      </c>
      <c r="AD17" s="308">
        <v>9.57</v>
      </c>
    </row>
    <row r="18" spans="1:30" ht="24.75" customHeight="1">
      <c r="A18" s="308">
        <v>12</v>
      </c>
      <c r="B18" s="307" t="s">
        <v>880</v>
      </c>
      <c r="C18" s="308"/>
      <c r="D18" s="308" t="s">
        <v>150</v>
      </c>
      <c r="E18" s="308"/>
      <c r="F18" s="308">
        <v>119.165</v>
      </c>
      <c r="G18" s="308"/>
      <c r="H18" s="306">
        <f t="shared" si="0"/>
        <v>119.165</v>
      </c>
      <c r="I18" s="308">
        <v>1870</v>
      </c>
      <c r="J18" s="308">
        <v>63</v>
      </c>
      <c r="K18" s="308">
        <v>1023</v>
      </c>
      <c r="L18" s="308">
        <v>10</v>
      </c>
      <c r="M18" s="306">
        <f t="shared" si="1"/>
        <v>2893</v>
      </c>
      <c r="N18" s="306">
        <f t="shared" si="1"/>
        <v>73</v>
      </c>
      <c r="O18" s="308">
        <v>240</v>
      </c>
      <c r="P18" s="308">
        <v>246</v>
      </c>
      <c r="Q18" s="308"/>
      <c r="R18" s="308">
        <v>6</v>
      </c>
      <c r="S18" s="308"/>
      <c r="T18" s="306">
        <f t="shared" si="2"/>
        <v>6</v>
      </c>
      <c r="U18" s="308"/>
      <c r="V18" s="308"/>
      <c r="W18" s="308">
        <v>19</v>
      </c>
      <c r="X18" s="308">
        <v>55</v>
      </c>
      <c r="Y18" s="308"/>
      <c r="Z18" s="308">
        <v>63</v>
      </c>
      <c r="AA18" s="308"/>
      <c r="AB18" s="308"/>
      <c r="AC18" s="308">
        <v>258.5677</v>
      </c>
      <c r="AD18" s="308">
        <v>9.53</v>
      </c>
    </row>
    <row r="19" spans="1:30" ht="24.75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7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</row>
    <row r="20" spans="1:30" ht="24.75" customHeight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</row>
    <row r="21" spans="1:30" ht="24.7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</row>
    <row r="22" spans="1:30" ht="24.7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</row>
    <row r="23" spans="1:30" ht="24.75" customHeight="1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</row>
    <row r="24" spans="1:30" ht="24.75" customHeight="1">
      <c r="A24" s="311" t="s">
        <v>122</v>
      </c>
      <c r="B24" s="312"/>
      <c r="C24" s="308">
        <v>2</v>
      </c>
      <c r="D24" s="308">
        <v>10</v>
      </c>
      <c r="E24" s="308"/>
      <c r="F24" s="308">
        <f>SUM(F7:F23)</f>
        <v>471.808</v>
      </c>
      <c r="G24" s="308">
        <f aca="true" t="shared" si="3" ref="G24:AC24">SUM(G7:G23)</f>
        <v>15.599999999999998</v>
      </c>
      <c r="H24" s="308">
        <f t="shared" si="3"/>
        <v>487.408</v>
      </c>
      <c r="I24" s="308">
        <f t="shared" si="3"/>
        <v>11139</v>
      </c>
      <c r="J24" s="308">
        <f t="shared" si="3"/>
        <v>254</v>
      </c>
      <c r="K24" s="308">
        <f t="shared" si="3"/>
        <v>17098</v>
      </c>
      <c r="L24" s="308">
        <f t="shared" si="3"/>
        <v>132</v>
      </c>
      <c r="M24" s="308">
        <f t="shared" si="3"/>
        <v>28237</v>
      </c>
      <c r="N24" s="308">
        <f t="shared" si="3"/>
        <v>386</v>
      </c>
      <c r="O24" s="308">
        <f t="shared" si="3"/>
        <v>1351</v>
      </c>
      <c r="P24" s="308">
        <f t="shared" si="3"/>
        <v>1366</v>
      </c>
      <c r="Q24" s="308">
        <f t="shared" si="3"/>
        <v>0</v>
      </c>
      <c r="R24" s="308">
        <f t="shared" si="3"/>
        <v>30</v>
      </c>
      <c r="S24" s="308">
        <f t="shared" si="3"/>
        <v>0</v>
      </c>
      <c r="T24" s="308">
        <f t="shared" si="3"/>
        <v>30</v>
      </c>
      <c r="U24" s="308">
        <f t="shared" si="3"/>
        <v>0</v>
      </c>
      <c r="V24" s="308">
        <f t="shared" si="3"/>
        <v>0</v>
      </c>
      <c r="W24" s="308">
        <f t="shared" si="3"/>
        <v>189</v>
      </c>
      <c r="X24" s="308">
        <f t="shared" si="3"/>
        <v>275</v>
      </c>
      <c r="Y24" s="308">
        <f t="shared" si="3"/>
        <v>26</v>
      </c>
      <c r="Z24" s="308">
        <f t="shared" si="3"/>
        <v>274</v>
      </c>
      <c r="AA24" s="308">
        <f t="shared" si="3"/>
        <v>0</v>
      </c>
      <c r="AB24" s="308">
        <f t="shared" si="3"/>
        <v>0</v>
      </c>
      <c r="AC24" s="308">
        <f t="shared" si="3"/>
        <v>2174.6817</v>
      </c>
      <c r="AD24" s="308">
        <v>8.97</v>
      </c>
    </row>
    <row r="25" spans="1:30" ht="24.75" customHeight="1">
      <c r="A25" s="313" t="s">
        <v>209</v>
      </c>
      <c r="B25" s="314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</row>
    <row r="26" spans="1:30" ht="15">
      <c r="A26" s="316"/>
      <c r="B26" s="317" t="s">
        <v>210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30"/>
    </row>
    <row r="27" spans="1:30" ht="15">
      <c r="A27" s="319"/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31"/>
    </row>
    <row r="28" spans="1:30" ht="15">
      <c r="A28" s="297"/>
      <c r="B28" s="297"/>
      <c r="C28" s="297"/>
      <c r="D28" s="297" t="s">
        <v>176</v>
      </c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 t="s">
        <v>177</v>
      </c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 t="s">
        <v>881</v>
      </c>
      <c r="AA28" s="297"/>
      <c r="AB28" s="297"/>
      <c r="AC28" s="297"/>
      <c r="AD28" s="297"/>
    </row>
  </sheetData>
  <sheetProtection/>
  <mergeCells count="22">
    <mergeCell ref="A1:AD1"/>
    <mergeCell ref="C3:E3"/>
    <mergeCell ref="F3:H3"/>
    <mergeCell ref="I3:N3"/>
    <mergeCell ref="Q3:T3"/>
    <mergeCell ref="U3:V3"/>
    <mergeCell ref="W3:Y3"/>
    <mergeCell ref="AA3:AB3"/>
    <mergeCell ref="A24:B24"/>
    <mergeCell ref="A25:B25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D51"/>
  <sheetViews>
    <sheetView zoomScale="75" zoomScaleNormal="75" workbookViewId="0" topLeftCell="A1">
      <pane xSplit="5" ySplit="6" topLeftCell="F37" activePane="bottomRight" state="frozen"/>
      <selection pane="bottomRight" activeCell="A1" sqref="A1:AD1"/>
    </sheetView>
  </sheetViews>
  <sheetFormatPr defaultColWidth="9.00390625" defaultRowHeight="14.25"/>
  <cols>
    <col min="1" max="1" width="2.75390625" style="241" customWidth="1"/>
    <col min="2" max="2" width="16.00390625" style="242" customWidth="1"/>
    <col min="3" max="5" width="3.375" style="241" customWidth="1"/>
    <col min="6" max="6" width="7.875" style="241" customWidth="1"/>
    <col min="7" max="7" width="9.875" style="241" customWidth="1"/>
    <col min="8" max="8" width="10.50390625" style="241" customWidth="1"/>
    <col min="9" max="11" width="6.75390625" style="241" customWidth="1"/>
    <col min="12" max="12" width="5.125" style="241" customWidth="1"/>
    <col min="13" max="13" width="6.75390625" style="241" customWidth="1"/>
    <col min="14" max="14" width="5.50390625" style="241" customWidth="1"/>
    <col min="15" max="15" width="5.125" style="241" customWidth="1"/>
    <col min="16" max="16" width="5.00390625" style="241" customWidth="1"/>
    <col min="17" max="20" width="4.125" style="241" customWidth="1"/>
    <col min="21" max="21" width="7.125" style="241" customWidth="1"/>
    <col min="22" max="22" width="6.00390625" style="241" customWidth="1"/>
    <col min="23" max="23" width="4.875" style="241" customWidth="1"/>
    <col min="24" max="26" width="5.75390625" style="241" customWidth="1"/>
    <col min="27" max="28" width="4.75390625" style="241" customWidth="1"/>
    <col min="29" max="29" width="12.375" style="243" customWidth="1"/>
    <col min="30" max="30" width="8.375" style="241" customWidth="1"/>
    <col min="31" max="16384" width="9.00390625" style="241" customWidth="1"/>
  </cols>
  <sheetData>
    <row r="1" spans="1:30" ht="33" customHeight="1">
      <c r="A1" s="244" t="s">
        <v>97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</row>
    <row r="2" spans="1:30" ht="30" customHeight="1">
      <c r="A2" s="246" t="s">
        <v>98</v>
      </c>
      <c r="B2" s="247"/>
      <c r="C2" s="246"/>
      <c r="D2" s="246"/>
      <c r="E2" s="248" t="s">
        <v>882</v>
      </c>
      <c r="F2" s="248"/>
      <c r="G2" s="248"/>
      <c r="H2" s="248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80" t="s">
        <v>883</v>
      </c>
      <c r="W2" s="280"/>
      <c r="X2" s="280"/>
      <c r="Y2" s="280"/>
      <c r="Z2" s="280"/>
      <c r="AA2" s="246"/>
      <c r="AB2" s="246" t="s">
        <v>239</v>
      </c>
      <c r="AC2" s="245"/>
      <c r="AD2" s="246"/>
    </row>
    <row r="3" spans="1:30" ht="16.5" customHeight="1">
      <c r="A3" s="249" t="s">
        <v>102</v>
      </c>
      <c r="B3" s="250" t="s">
        <v>103</v>
      </c>
      <c r="C3" s="251" t="s">
        <v>104</v>
      </c>
      <c r="D3" s="251"/>
      <c r="E3" s="251"/>
      <c r="F3" s="252" t="s">
        <v>105</v>
      </c>
      <c r="G3" s="211"/>
      <c r="H3" s="211"/>
      <c r="I3" s="211" t="s">
        <v>106</v>
      </c>
      <c r="J3" s="211"/>
      <c r="K3" s="211"/>
      <c r="L3" s="211"/>
      <c r="M3" s="211"/>
      <c r="N3" s="211"/>
      <c r="O3" s="249" t="s">
        <v>107</v>
      </c>
      <c r="P3" s="249" t="s">
        <v>108</v>
      </c>
      <c r="Q3" s="281" t="s">
        <v>109</v>
      </c>
      <c r="R3" s="282"/>
      <c r="S3" s="282"/>
      <c r="T3" s="252"/>
      <c r="U3" s="211" t="s">
        <v>110</v>
      </c>
      <c r="V3" s="211"/>
      <c r="W3" s="281" t="s">
        <v>111</v>
      </c>
      <c r="X3" s="282"/>
      <c r="Y3" s="252"/>
      <c r="Z3" s="249" t="s">
        <v>112</v>
      </c>
      <c r="AA3" s="211" t="s">
        <v>113</v>
      </c>
      <c r="AB3" s="211"/>
      <c r="AC3" s="249" t="s">
        <v>114</v>
      </c>
      <c r="AD3" s="249" t="s">
        <v>115</v>
      </c>
    </row>
    <row r="4" spans="1:30" ht="16.5" customHeight="1">
      <c r="A4" s="253"/>
      <c r="B4" s="254"/>
      <c r="C4" s="251" t="s">
        <v>116</v>
      </c>
      <c r="D4" s="251" t="s">
        <v>117</v>
      </c>
      <c r="E4" s="251" t="s">
        <v>118</v>
      </c>
      <c r="F4" s="255" t="s">
        <v>119</v>
      </c>
      <c r="G4" s="256"/>
      <c r="H4" s="256"/>
      <c r="I4" s="211" t="s">
        <v>120</v>
      </c>
      <c r="J4" s="211"/>
      <c r="K4" s="211" t="s">
        <v>121</v>
      </c>
      <c r="L4" s="211"/>
      <c r="M4" s="211" t="s">
        <v>122</v>
      </c>
      <c r="N4" s="211"/>
      <c r="O4" s="253"/>
      <c r="P4" s="278" t="s">
        <v>123</v>
      </c>
      <c r="Q4" s="249"/>
      <c r="R4" s="249"/>
      <c r="S4" s="249"/>
      <c r="T4" s="249"/>
      <c r="U4" s="211" t="s">
        <v>124</v>
      </c>
      <c r="V4" s="211"/>
      <c r="W4" s="249" t="s">
        <v>125</v>
      </c>
      <c r="X4" s="249" t="s">
        <v>126</v>
      </c>
      <c r="Y4" s="249" t="s">
        <v>126</v>
      </c>
      <c r="Z4" s="253" t="s">
        <v>127</v>
      </c>
      <c r="AA4" s="211" t="s">
        <v>128</v>
      </c>
      <c r="AB4" s="211"/>
      <c r="AC4" s="257" t="s">
        <v>129</v>
      </c>
      <c r="AD4" s="257" t="s">
        <v>130</v>
      </c>
    </row>
    <row r="5" spans="1:30" ht="16.5" customHeight="1">
      <c r="A5" s="253"/>
      <c r="B5" s="254"/>
      <c r="C5" s="251"/>
      <c r="D5" s="251"/>
      <c r="E5" s="251"/>
      <c r="F5" s="255"/>
      <c r="G5" s="256"/>
      <c r="H5" s="256"/>
      <c r="I5" s="211"/>
      <c r="J5" s="211"/>
      <c r="K5" s="211"/>
      <c r="L5" s="211"/>
      <c r="M5" s="211"/>
      <c r="N5" s="211"/>
      <c r="O5" s="257" t="s">
        <v>131</v>
      </c>
      <c r="P5" s="279" t="s">
        <v>132</v>
      </c>
      <c r="Q5" s="253"/>
      <c r="R5" s="253" t="s">
        <v>133</v>
      </c>
      <c r="S5" s="253"/>
      <c r="T5" s="253"/>
      <c r="U5" s="211"/>
      <c r="V5" s="211"/>
      <c r="W5" s="253"/>
      <c r="X5" s="253"/>
      <c r="Y5" s="253"/>
      <c r="Z5" s="257" t="s">
        <v>134</v>
      </c>
      <c r="AA5" s="211"/>
      <c r="AB5" s="211"/>
      <c r="AC5" s="249" t="s">
        <v>135</v>
      </c>
      <c r="AD5" s="284" t="s">
        <v>136</v>
      </c>
    </row>
    <row r="6" spans="1:30" ht="16.5" customHeight="1">
      <c r="A6" s="257" t="s">
        <v>137</v>
      </c>
      <c r="B6" s="258"/>
      <c r="C6" s="251"/>
      <c r="D6" s="251"/>
      <c r="E6" s="251"/>
      <c r="F6" s="252" t="s">
        <v>120</v>
      </c>
      <c r="G6" s="211" t="s">
        <v>121</v>
      </c>
      <c r="H6" s="211" t="s">
        <v>122</v>
      </c>
      <c r="I6" s="211" t="s">
        <v>138</v>
      </c>
      <c r="J6" s="211" t="s">
        <v>139</v>
      </c>
      <c r="K6" s="211" t="s">
        <v>138</v>
      </c>
      <c r="L6" s="211" t="s">
        <v>139</v>
      </c>
      <c r="M6" s="211" t="s">
        <v>138</v>
      </c>
      <c r="N6" s="211" t="s">
        <v>139</v>
      </c>
      <c r="O6" s="211" t="s">
        <v>128</v>
      </c>
      <c r="P6" s="211" t="s">
        <v>128</v>
      </c>
      <c r="Q6" s="283" t="s">
        <v>140</v>
      </c>
      <c r="R6" s="257" t="s">
        <v>141</v>
      </c>
      <c r="S6" s="257" t="s">
        <v>142</v>
      </c>
      <c r="T6" s="257" t="s">
        <v>122</v>
      </c>
      <c r="U6" s="211" t="s">
        <v>138</v>
      </c>
      <c r="V6" s="211" t="s">
        <v>139</v>
      </c>
      <c r="W6" s="257"/>
      <c r="X6" s="257" t="s">
        <v>143</v>
      </c>
      <c r="Y6" s="257" t="s">
        <v>144</v>
      </c>
      <c r="Z6" s="211" t="s">
        <v>145</v>
      </c>
      <c r="AA6" s="256" t="s">
        <v>146</v>
      </c>
      <c r="AB6" s="256" t="s">
        <v>147</v>
      </c>
      <c r="AC6" s="257" t="s">
        <v>148</v>
      </c>
      <c r="AD6" s="283"/>
    </row>
    <row r="7" spans="1:30" ht="23.25" customHeight="1">
      <c r="A7" s="258">
        <v>1</v>
      </c>
      <c r="B7" s="259" t="s">
        <v>884</v>
      </c>
      <c r="C7" s="203" t="s">
        <v>150</v>
      </c>
      <c r="D7" s="203"/>
      <c r="E7" s="203"/>
      <c r="F7" s="257">
        <v>6.72</v>
      </c>
      <c r="G7" s="257"/>
      <c r="H7" s="257">
        <f aca="true" t="shared" si="0" ref="H7:H27">SUM(F7:G7)</f>
        <v>6.72</v>
      </c>
      <c r="I7" s="257">
        <v>3095</v>
      </c>
      <c r="J7" s="257">
        <v>15</v>
      </c>
      <c r="K7" s="257">
        <v>1593</v>
      </c>
      <c r="L7" s="257">
        <v>8</v>
      </c>
      <c r="M7" s="257">
        <f aca="true" t="shared" si="1" ref="M7:N22">I7+K7</f>
        <v>4688</v>
      </c>
      <c r="N7" s="257">
        <f t="shared" si="1"/>
        <v>23</v>
      </c>
      <c r="O7" s="257">
        <v>72</v>
      </c>
      <c r="P7" s="257">
        <f>N7*3</f>
        <v>69</v>
      </c>
      <c r="Q7" s="257">
        <v>1</v>
      </c>
      <c r="R7" s="257"/>
      <c r="S7" s="257">
        <v>2</v>
      </c>
      <c r="T7" s="257">
        <f>Q7+R7+S7</f>
        <v>3</v>
      </c>
      <c r="U7" s="257"/>
      <c r="V7" s="257"/>
      <c r="W7" s="257">
        <v>1396</v>
      </c>
      <c r="X7" s="257">
        <v>139</v>
      </c>
      <c r="Y7" s="257">
        <v>2</v>
      </c>
      <c r="Z7" s="257">
        <v>11</v>
      </c>
      <c r="AA7" s="257">
        <v>78</v>
      </c>
      <c r="AB7" s="257">
        <v>3</v>
      </c>
      <c r="AC7" s="285">
        <v>687.7421</v>
      </c>
      <c r="AD7" s="286">
        <v>15.16</v>
      </c>
    </row>
    <row r="8" spans="1:30" ht="23.25" customHeight="1">
      <c r="A8" s="258">
        <v>2</v>
      </c>
      <c r="B8" s="259" t="s">
        <v>885</v>
      </c>
      <c r="C8" s="203" t="s">
        <v>150</v>
      </c>
      <c r="D8" s="203"/>
      <c r="E8" s="203"/>
      <c r="F8" s="257">
        <v>35.24</v>
      </c>
      <c r="G8" s="257"/>
      <c r="H8" s="257">
        <f t="shared" si="0"/>
        <v>35.24</v>
      </c>
      <c r="I8" s="257">
        <v>3615</v>
      </c>
      <c r="J8" s="257">
        <v>29</v>
      </c>
      <c r="K8" s="257">
        <v>4425</v>
      </c>
      <c r="L8" s="257">
        <v>26</v>
      </c>
      <c r="M8" s="257">
        <f t="shared" si="1"/>
        <v>8040</v>
      </c>
      <c r="N8" s="257">
        <f t="shared" si="1"/>
        <v>55</v>
      </c>
      <c r="O8" s="257">
        <v>183</v>
      </c>
      <c r="P8" s="257">
        <f aca="true" t="shared" si="2" ref="P8:P26">N8*3</f>
        <v>165</v>
      </c>
      <c r="Q8" s="257">
        <v>1</v>
      </c>
      <c r="R8" s="257">
        <v>2</v>
      </c>
      <c r="S8" s="257">
        <v>2</v>
      </c>
      <c r="T8" s="257">
        <f aca="true" t="shared" si="3" ref="T8:T27">Q8+R8+S8</f>
        <v>5</v>
      </c>
      <c r="U8" s="257"/>
      <c r="V8" s="257"/>
      <c r="W8" s="257">
        <v>1691</v>
      </c>
      <c r="X8" s="257">
        <v>169</v>
      </c>
      <c r="Y8" s="257">
        <v>6</v>
      </c>
      <c r="Z8" s="257">
        <v>18</v>
      </c>
      <c r="AA8" s="257">
        <v>117</v>
      </c>
      <c r="AB8" s="257"/>
      <c r="AC8" s="285">
        <v>796.7215</v>
      </c>
      <c r="AD8" s="286">
        <v>12.82</v>
      </c>
    </row>
    <row r="9" spans="1:30" ht="23.25" customHeight="1">
      <c r="A9" s="258">
        <v>3</v>
      </c>
      <c r="B9" s="259" t="s">
        <v>886</v>
      </c>
      <c r="C9" s="203"/>
      <c r="D9" s="203"/>
      <c r="E9" s="203" t="s">
        <v>150</v>
      </c>
      <c r="F9" s="257"/>
      <c r="G9" s="257">
        <v>3.77</v>
      </c>
      <c r="H9" s="257">
        <f t="shared" si="0"/>
        <v>3.77</v>
      </c>
      <c r="I9" s="257">
        <v>765</v>
      </c>
      <c r="J9" s="257">
        <v>3</v>
      </c>
      <c r="K9" s="257">
        <v>2440</v>
      </c>
      <c r="L9" s="257">
        <v>5</v>
      </c>
      <c r="M9" s="257">
        <f t="shared" si="1"/>
        <v>3205</v>
      </c>
      <c r="N9" s="257">
        <f t="shared" si="1"/>
        <v>8</v>
      </c>
      <c r="O9" s="257">
        <v>36</v>
      </c>
      <c r="P9" s="257">
        <f t="shared" si="2"/>
        <v>24</v>
      </c>
      <c r="Q9" s="257"/>
      <c r="R9" s="257">
        <v>1</v>
      </c>
      <c r="S9" s="257"/>
      <c r="T9" s="257">
        <f t="shared" si="3"/>
        <v>1</v>
      </c>
      <c r="U9" s="257"/>
      <c r="V9" s="257"/>
      <c r="W9" s="257">
        <v>625</v>
      </c>
      <c r="X9" s="257">
        <v>13</v>
      </c>
      <c r="Y9" s="257"/>
      <c r="Z9" s="257">
        <v>3</v>
      </c>
      <c r="AA9" s="257">
        <v>24</v>
      </c>
      <c r="AB9" s="257">
        <v>3</v>
      </c>
      <c r="AC9" s="285">
        <v>96.3409</v>
      </c>
      <c r="AD9" s="286">
        <v>17.84</v>
      </c>
    </row>
    <row r="10" spans="1:30" ht="23.25" customHeight="1">
      <c r="A10" s="258">
        <v>4</v>
      </c>
      <c r="B10" s="259" t="s">
        <v>887</v>
      </c>
      <c r="C10" s="203"/>
      <c r="D10" s="203" t="s">
        <v>150</v>
      </c>
      <c r="E10" s="203"/>
      <c r="F10" s="257">
        <v>42.07</v>
      </c>
      <c r="G10" s="257"/>
      <c r="H10" s="257">
        <f t="shared" si="0"/>
        <v>42.07</v>
      </c>
      <c r="I10" s="257">
        <v>1890</v>
      </c>
      <c r="J10" s="257">
        <v>28</v>
      </c>
      <c r="K10" s="257">
        <v>1080</v>
      </c>
      <c r="L10" s="257">
        <v>9</v>
      </c>
      <c r="M10" s="257">
        <f t="shared" si="1"/>
        <v>2970</v>
      </c>
      <c r="N10" s="257">
        <f t="shared" si="1"/>
        <v>37</v>
      </c>
      <c r="O10" s="257">
        <v>129</v>
      </c>
      <c r="P10" s="257">
        <f t="shared" si="2"/>
        <v>111</v>
      </c>
      <c r="Q10" s="257"/>
      <c r="R10" s="257">
        <v>1</v>
      </c>
      <c r="S10" s="257"/>
      <c r="T10" s="257">
        <f t="shared" si="3"/>
        <v>1</v>
      </c>
      <c r="U10" s="257"/>
      <c r="V10" s="257"/>
      <c r="W10" s="257">
        <v>1133</v>
      </c>
      <c r="X10" s="257">
        <v>65</v>
      </c>
      <c r="Y10" s="257">
        <v>2</v>
      </c>
      <c r="Z10" s="257">
        <v>12</v>
      </c>
      <c r="AA10" s="257">
        <v>42</v>
      </c>
      <c r="AB10" s="257"/>
      <c r="AC10" s="285">
        <v>446.1749</v>
      </c>
      <c r="AD10" s="286">
        <v>12.8</v>
      </c>
    </row>
    <row r="11" spans="1:30" ht="23.25" customHeight="1">
      <c r="A11" s="258">
        <v>5</v>
      </c>
      <c r="B11" s="259" t="s">
        <v>888</v>
      </c>
      <c r="C11" s="203"/>
      <c r="D11" s="203" t="s">
        <v>150</v>
      </c>
      <c r="E11" s="203"/>
      <c r="F11" s="257">
        <v>90.86</v>
      </c>
      <c r="G11" s="257">
        <v>4.89</v>
      </c>
      <c r="H11" s="257">
        <f t="shared" si="0"/>
        <v>95.75</v>
      </c>
      <c r="I11" s="257">
        <v>1010</v>
      </c>
      <c r="J11" s="257">
        <v>33</v>
      </c>
      <c r="K11" s="257">
        <v>1650</v>
      </c>
      <c r="L11" s="257">
        <v>10</v>
      </c>
      <c r="M11" s="257">
        <f t="shared" si="1"/>
        <v>2660</v>
      </c>
      <c r="N11" s="257">
        <f t="shared" si="1"/>
        <v>43</v>
      </c>
      <c r="O11" s="257">
        <f aca="true" t="shared" si="4" ref="O11:O26">P11</f>
        <v>129</v>
      </c>
      <c r="P11" s="257">
        <f t="shared" si="2"/>
        <v>129</v>
      </c>
      <c r="Q11" s="257"/>
      <c r="R11" s="257">
        <v>2</v>
      </c>
      <c r="S11" s="257"/>
      <c r="T11" s="257">
        <f t="shared" si="3"/>
        <v>2</v>
      </c>
      <c r="U11" s="257"/>
      <c r="V11" s="257"/>
      <c r="W11" s="257"/>
      <c r="X11" s="257">
        <v>18</v>
      </c>
      <c r="Y11" s="257"/>
      <c r="Z11" s="257"/>
      <c r="AA11" s="257">
        <v>15</v>
      </c>
      <c r="AB11" s="257"/>
      <c r="AC11" s="285">
        <v>235.0448</v>
      </c>
      <c r="AD11" s="286">
        <v>16.76</v>
      </c>
    </row>
    <row r="12" spans="1:30" ht="23.25" customHeight="1">
      <c r="A12" s="258">
        <v>6</v>
      </c>
      <c r="B12" s="259" t="s">
        <v>889</v>
      </c>
      <c r="C12" s="203"/>
      <c r="D12" s="203" t="s">
        <v>150</v>
      </c>
      <c r="E12" s="203"/>
      <c r="F12" s="257">
        <v>61.494</v>
      </c>
      <c r="G12" s="257"/>
      <c r="H12" s="257">
        <f t="shared" si="0"/>
        <v>61.494</v>
      </c>
      <c r="I12" s="257">
        <v>830</v>
      </c>
      <c r="J12" s="257">
        <v>35</v>
      </c>
      <c r="K12" s="257">
        <v>415</v>
      </c>
      <c r="L12" s="257">
        <v>2</v>
      </c>
      <c r="M12" s="257">
        <f t="shared" si="1"/>
        <v>1245</v>
      </c>
      <c r="N12" s="257">
        <f t="shared" si="1"/>
        <v>37</v>
      </c>
      <c r="O12" s="257">
        <f t="shared" si="4"/>
        <v>111</v>
      </c>
      <c r="P12" s="257">
        <f t="shared" si="2"/>
        <v>111</v>
      </c>
      <c r="Q12" s="257"/>
      <c r="R12" s="257">
        <v>2</v>
      </c>
      <c r="S12" s="257"/>
      <c r="T12" s="257">
        <f t="shared" si="3"/>
        <v>2</v>
      </c>
      <c r="U12" s="257"/>
      <c r="V12" s="257"/>
      <c r="W12" s="257"/>
      <c r="X12" s="257">
        <v>33</v>
      </c>
      <c r="Y12" s="257">
        <v>1</v>
      </c>
      <c r="Z12" s="257">
        <v>1</v>
      </c>
      <c r="AA12" s="257">
        <v>8</v>
      </c>
      <c r="AB12" s="257"/>
      <c r="AC12" s="285">
        <v>99.0486</v>
      </c>
      <c r="AD12" s="286">
        <v>14.08</v>
      </c>
    </row>
    <row r="13" spans="1:30" ht="23.25" customHeight="1">
      <c r="A13" s="258">
        <v>7</v>
      </c>
      <c r="B13" s="259" t="s">
        <v>890</v>
      </c>
      <c r="C13" s="203"/>
      <c r="D13" s="203" t="s">
        <v>150</v>
      </c>
      <c r="E13" s="203"/>
      <c r="F13" s="257">
        <v>90.876</v>
      </c>
      <c r="G13" s="257"/>
      <c r="H13" s="257">
        <f t="shared" si="0"/>
        <v>90.876</v>
      </c>
      <c r="I13" s="257">
        <v>930</v>
      </c>
      <c r="J13" s="257">
        <v>31</v>
      </c>
      <c r="K13" s="257">
        <v>2485</v>
      </c>
      <c r="L13" s="257">
        <v>12</v>
      </c>
      <c r="M13" s="257">
        <f t="shared" si="1"/>
        <v>3415</v>
      </c>
      <c r="N13" s="257">
        <f t="shared" si="1"/>
        <v>43</v>
      </c>
      <c r="O13" s="257">
        <f t="shared" si="4"/>
        <v>129</v>
      </c>
      <c r="P13" s="257">
        <f t="shared" si="2"/>
        <v>129</v>
      </c>
      <c r="Q13" s="257"/>
      <c r="R13" s="257">
        <v>3</v>
      </c>
      <c r="S13" s="257"/>
      <c r="T13" s="257">
        <f t="shared" si="3"/>
        <v>3</v>
      </c>
      <c r="U13" s="257"/>
      <c r="V13" s="257"/>
      <c r="W13" s="257"/>
      <c r="X13" s="257">
        <v>35</v>
      </c>
      <c r="Y13" s="257"/>
      <c r="Z13" s="257"/>
      <c r="AA13" s="257">
        <v>4</v>
      </c>
      <c r="AB13" s="257"/>
      <c r="AC13" s="285">
        <v>309.2143</v>
      </c>
      <c r="AD13" s="286">
        <v>14.28</v>
      </c>
    </row>
    <row r="14" spans="1:30" ht="23.25" customHeight="1">
      <c r="A14" s="258">
        <v>8</v>
      </c>
      <c r="B14" s="259" t="s">
        <v>891</v>
      </c>
      <c r="C14" s="203"/>
      <c r="D14" s="203" t="s">
        <v>150</v>
      </c>
      <c r="E14" s="203"/>
      <c r="F14" s="257">
        <v>11</v>
      </c>
      <c r="G14" s="257"/>
      <c r="H14" s="257">
        <f t="shared" si="0"/>
        <v>11</v>
      </c>
      <c r="I14" s="257">
        <v>130</v>
      </c>
      <c r="J14" s="257">
        <v>5</v>
      </c>
      <c r="K14" s="257"/>
      <c r="L14" s="257"/>
      <c r="M14" s="257">
        <f t="shared" si="1"/>
        <v>130</v>
      </c>
      <c r="N14" s="257">
        <f t="shared" si="1"/>
        <v>5</v>
      </c>
      <c r="O14" s="257">
        <f t="shared" si="4"/>
        <v>15</v>
      </c>
      <c r="P14" s="257">
        <f t="shared" si="2"/>
        <v>15</v>
      </c>
      <c r="Q14" s="257"/>
      <c r="R14" s="257">
        <v>1</v>
      </c>
      <c r="S14" s="257"/>
      <c r="T14" s="257">
        <f t="shared" si="3"/>
        <v>1</v>
      </c>
      <c r="U14" s="257"/>
      <c r="V14" s="257"/>
      <c r="W14" s="257"/>
      <c r="X14" s="257">
        <v>32</v>
      </c>
      <c r="Y14" s="257"/>
      <c r="Z14" s="257"/>
      <c r="AA14" s="257">
        <v>4</v>
      </c>
      <c r="AB14" s="257"/>
      <c r="AC14" s="285">
        <v>3</v>
      </c>
      <c r="AD14" s="286">
        <v>0</v>
      </c>
    </row>
    <row r="15" spans="1:30" ht="23.25" customHeight="1">
      <c r="A15" s="258">
        <v>9</v>
      </c>
      <c r="B15" s="259" t="s">
        <v>892</v>
      </c>
      <c r="C15" s="203"/>
      <c r="D15" s="203" t="s">
        <v>150</v>
      </c>
      <c r="E15" s="203"/>
      <c r="F15" s="257">
        <v>17.8</v>
      </c>
      <c r="G15" s="257"/>
      <c r="H15" s="257">
        <f t="shared" si="0"/>
        <v>17.8</v>
      </c>
      <c r="I15" s="257">
        <v>540</v>
      </c>
      <c r="J15" s="257">
        <v>8</v>
      </c>
      <c r="K15" s="257">
        <v>240</v>
      </c>
      <c r="L15" s="257">
        <v>3</v>
      </c>
      <c r="M15" s="257">
        <f t="shared" si="1"/>
        <v>780</v>
      </c>
      <c r="N15" s="257">
        <f t="shared" si="1"/>
        <v>11</v>
      </c>
      <c r="O15" s="257">
        <f t="shared" si="4"/>
        <v>33</v>
      </c>
      <c r="P15" s="257">
        <f t="shared" si="2"/>
        <v>33</v>
      </c>
      <c r="Q15" s="257"/>
      <c r="R15" s="257">
        <v>1</v>
      </c>
      <c r="S15" s="257"/>
      <c r="T15" s="257">
        <f t="shared" si="3"/>
        <v>1</v>
      </c>
      <c r="U15" s="257"/>
      <c r="V15" s="257"/>
      <c r="W15" s="257"/>
      <c r="X15" s="257">
        <v>24</v>
      </c>
      <c r="Y15" s="257">
        <v>1</v>
      </c>
      <c r="Z15" s="257"/>
      <c r="AA15" s="257">
        <v>12</v>
      </c>
      <c r="AB15" s="257"/>
      <c r="AC15" s="285">
        <v>287.2752</v>
      </c>
      <c r="AD15" s="286">
        <v>12.05</v>
      </c>
    </row>
    <row r="16" spans="1:30" ht="23.25" customHeight="1">
      <c r="A16" s="258">
        <v>10</v>
      </c>
      <c r="B16" s="259" t="s">
        <v>893</v>
      </c>
      <c r="C16" s="203"/>
      <c r="D16" s="203" t="s">
        <v>150</v>
      </c>
      <c r="E16" s="203"/>
      <c r="F16" s="257">
        <v>49.6</v>
      </c>
      <c r="G16" s="257"/>
      <c r="H16" s="257">
        <f t="shared" si="0"/>
        <v>49.6</v>
      </c>
      <c r="I16" s="257">
        <v>930</v>
      </c>
      <c r="J16" s="257">
        <v>18</v>
      </c>
      <c r="K16" s="257">
        <v>1415</v>
      </c>
      <c r="L16" s="257">
        <v>8</v>
      </c>
      <c r="M16" s="257">
        <f t="shared" si="1"/>
        <v>2345</v>
      </c>
      <c r="N16" s="257">
        <f t="shared" si="1"/>
        <v>26</v>
      </c>
      <c r="O16" s="257">
        <f t="shared" si="4"/>
        <v>78</v>
      </c>
      <c r="P16" s="257">
        <f t="shared" si="2"/>
        <v>78</v>
      </c>
      <c r="Q16" s="257"/>
      <c r="R16" s="211">
        <v>1</v>
      </c>
      <c r="S16" s="257"/>
      <c r="T16" s="257">
        <f t="shared" si="3"/>
        <v>1</v>
      </c>
      <c r="U16" s="257"/>
      <c r="V16" s="211"/>
      <c r="W16" s="211"/>
      <c r="X16" s="211">
        <v>11</v>
      </c>
      <c r="Y16" s="211">
        <v>1</v>
      </c>
      <c r="Z16" s="211"/>
      <c r="AA16" s="211">
        <v>12</v>
      </c>
      <c r="AB16" s="211"/>
      <c r="AC16" s="285">
        <v>471.7789</v>
      </c>
      <c r="AD16" s="286">
        <v>14.73</v>
      </c>
    </row>
    <row r="17" spans="1:30" ht="23.25" customHeight="1">
      <c r="A17" s="258">
        <v>11</v>
      </c>
      <c r="B17" s="259" t="s">
        <v>894</v>
      </c>
      <c r="C17" s="205"/>
      <c r="D17" s="205" t="s">
        <v>150</v>
      </c>
      <c r="E17" s="205"/>
      <c r="F17" s="211">
        <v>73.6</v>
      </c>
      <c r="G17" s="211"/>
      <c r="H17" s="257">
        <f t="shared" si="0"/>
        <v>73.6</v>
      </c>
      <c r="I17" s="211">
        <v>950</v>
      </c>
      <c r="J17" s="211">
        <v>30</v>
      </c>
      <c r="K17" s="211">
        <v>1050</v>
      </c>
      <c r="L17" s="211">
        <v>7</v>
      </c>
      <c r="M17" s="257">
        <f t="shared" si="1"/>
        <v>2000</v>
      </c>
      <c r="N17" s="257">
        <f t="shared" si="1"/>
        <v>37</v>
      </c>
      <c r="O17" s="257">
        <f t="shared" si="4"/>
        <v>111</v>
      </c>
      <c r="P17" s="257">
        <f t="shared" si="2"/>
        <v>111</v>
      </c>
      <c r="Q17" s="211"/>
      <c r="R17" s="211">
        <v>2</v>
      </c>
      <c r="S17" s="257"/>
      <c r="T17" s="257">
        <f t="shared" si="3"/>
        <v>2</v>
      </c>
      <c r="U17" s="257"/>
      <c r="V17" s="211"/>
      <c r="W17" s="211"/>
      <c r="X17" s="211">
        <v>43</v>
      </c>
      <c r="Y17" s="211">
        <v>1</v>
      </c>
      <c r="Z17" s="211">
        <v>2</v>
      </c>
      <c r="AA17" s="211">
        <v>18</v>
      </c>
      <c r="AB17" s="211"/>
      <c r="AC17" s="285">
        <v>447.2676</v>
      </c>
      <c r="AD17" s="286">
        <v>17.23</v>
      </c>
    </row>
    <row r="18" spans="1:30" ht="23.25" customHeight="1">
      <c r="A18" s="258">
        <v>12</v>
      </c>
      <c r="B18" s="259" t="s">
        <v>895</v>
      </c>
      <c r="C18" s="205"/>
      <c r="D18" s="205" t="s">
        <v>150</v>
      </c>
      <c r="E18" s="205"/>
      <c r="F18" s="211">
        <v>30.58</v>
      </c>
      <c r="G18" s="211"/>
      <c r="H18" s="257">
        <f t="shared" si="0"/>
        <v>30.58</v>
      </c>
      <c r="I18" s="211">
        <v>1210</v>
      </c>
      <c r="J18" s="211">
        <v>15</v>
      </c>
      <c r="K18" s="211"/>
      <c r="L18" s="211"/>
      <c r="M18" s="257">
        <f t="shared" si="1"/>
        <v>1210</v>
      </c>
      <c r="N18" s="257">
        <f t="shared" si="1"/>
        <v>15</v>
      </c>
      <c r="O18" s="257">
        <f t="shared" si="4"/>
        <v>45</v>
      </c>
      <c r="P18" s="257">
        <f t="shared" si="2"/>
        <v>45</v>
      </c>
      <c r="Q18" s="211"/>
      <c r="R18" s="211">
        <v>2</v>
      </c>
      <c r="S18" s="257"/>
      <c r="T18" s="257">
        <f t="shared" si="3"/>
        <v>2</v>
      </c>
      <c r="U18" s="257"/>
      <c r="V18" s="211"/>
      <c r="W18" s="211"/>
      <c r="X18" s="211">
        <v>27</v>
      </c>
      <c r="Y18" s="211"/>
      <c r="Z18" s="211"/>
      <c r="AA18" s="211">
        <v>12</v>
      </c>
      <c r="AB18" s="211"/>
      <c r="AC18" s="285">
        <v>61.5051</v>
      </c>
      <c r="AD18" s="286">
        <v>15.07</v>
      </c>
    </row>
    <row r="19" spans="1:30" ht="23.25" customHeight="1">
      <c r="A19" s="258">
        <v>13</v>
      </c>
      <c r="B19" s="259" t="s">
        <v>896</v>
      </c>
      <c r="C19" s="205"/>
      <c r="D19" s="205" t="s">
        <v>150</v>
      </c>
      <c r="E19" s="205"/>
      <c r="F19" s="211">
        <v>42.8</v>
      </c>
      <c r="G19" s="211"/>
      <c r="H19" s="257">
        <f t="shared" si="0"/>
        <v>42.8</v>
      </c>
      <c r="I19" s="211">
        <v>335</v>
      </c>
      <c r="J19" s="211">
        <v>13</v>
      </c>
      <c r="K19" s="211">
        <v>210</v>
      </c>
      <c r="L19" s="211">
        <v>3</v>
      </c>
      <c r="M19" s="257">
        <f t="shared" si="1"/>
        <v>545</v>
      </c>
      <c r="N19" s="257">
        <f t="shared" si="1"/>
        <v>16</v>
      </c>
      <c r="O19" s="257">
        <f t="shared" si="4"/>
        <v>48</v>
      </c>
      <c r="P19" s="257">
        <f t="shared" si="2"/>
        <v>48</v>
      </c>
      <c r="Q19" s="211"/>
      <c r="R19" s="211">
        <v>1</v>
      </c>
      <c r="S19" s="257"/>
      <c r="T19" s="257">
        <f t="shared" si="3"/>
        <v>1</v>
      </c>
      <c r="U19" s="257"/>
      <c r="V19" s="211"/>
      <c r="W19" s="211"/>
      <c r="X19" s="211">
        <v>13</v>
      </c>
      <c r="Y19" s="211"/>
      <c r="Z19" s="211"/>
      <c r="AA19" s="211">
        <v>10</v>
      </c>
      <c r="AB19" s="211"/>
      <c r="AC19" s="285">
        <v>66.7577</v>
      </c>
      <c r="AD19" s="286">
        <v>13.61</v>
      </c>
    </row>
    <row r="20" spans="1:30" ht="23.25" customHeight="1">
      <c r="A20" s="258">
        <v>14</v>
      </c>
      <c r="B20" s="259" t="s">
        <v>897</v>
      </c>
      <c r="C20" s="205"/>
      <c r="D20" s="205" t="s">
        <v>150</v>
      </c>
      <c r="E20" s="205"/>
      <c r="F20" s="211">
        <v>11.3</v>
      </c>
      <c r="G20" s="211"/>
      <c r="H20" s="257">
        <f t="shared" si="0"/>
        <v>11.3</v>
      </c>
      <c r="I20" s="211">
        <v>270</v>
      </c>
      <c r="J20" s="211">
        <v>11</v>
      </c>
      <c r="K20" s="211"/>
      <c r="L20" s="211"/>
      <c r="M20" s="257">
        <f t="shared" si="1"/>
        <v>270</v>
      </c>
      <c r="N20" s="257">
        <f t="shared" si="1"/>
        <v>11</v>
      </c>
      <c r="O20" s="257">
        <f t="shared" si="4"/>
        <v>33</v>
      </c>
      <c r="P20" s="257">
        <f t="shared" si="2"/>
        <v>33</v>
      </c>
      <c r="Q20" s="211"/>
      <c r="R20" s="211">
        <v>1</v>
      </c>
      <c r="S20" s="257"/>
      <c r="T20" s="257">
        <f t="shared" si="3"/>
        <v>1</v>
      </c>
      <c r="U20" s="257"/>
      <c r="V20" s="211"/>
      <c r="W20" s="211"/>
      <c r="X20" s="211">
        <v>14</v>
      </c>
      <c r="Y20" s="211"/>
      <c r="Z20" s="211"/>
      <c r="AA20" s="211">
        <v>1</v>
      </c>
      <c r="AB20" s="211"/>
      <c r="AC20" s="285">
        <v>30.8208</v>
      </c>
      <c r="AD20" s="286">
        <v>10.3</v>
      </c>
    </row>
    <row r="21" spans="1:30" ht="23.25" customHeight="1">
      <c r="A21" s="258">
        <v>15</v>
      </c>
      <c r="B21" s="259" t="s">
        <v>898</v>
      </c>
      <c r="C21" s="205"/>
      <c r="D21" s="205" t="s">
        <v>150</v>
      </c>
      <c r="E21" s="205"/>
      <c r="F21" s="211">
        <v>68.8</v>
      </c>
      <c r="G21" s="211"/>
      <c r="H21" s="257">
        <f t="shared" si="0"/>
        <v>68.8</v>
      </c>
      <c r="I21" s="211">
        <v>900</v>
      </c>
      <c r="J21" s="211">
        <v>32</v>
      </c>
      <c r="K21" s="211">
        <v>1200</v>
      </c>
      <c r="L21" s="211">
        <v>10</v>
      </c>
      <c r="M21" s="257">
        <f t="shared" si="1"/>
        <v>2100</v>
      </c>
      <c r="N21" s="257">
        <f t="shared" si="1"/>
        <v>42</v>
      </c>
      <c r="O21" s="257">
        <f t="shared" si="4"/>
        <v>126</v>
      </c>
      <c r="P21" s="257">
        <f t="shared" si="2"/>
        <v>126</v>
      </c>
      <c r="Q21" s="211"/>
      <c r="R21" s="211">
        <v>2</v>
      </c>
      <c r="S21" s="257"/>
      <c r="T21" s="257">
        <f t="shared" si="3"/>
        <v>2</v>
      </c>
      <c r="U21" s="257"/>
      <c r="V21" s="211"/>
      <c r="W21" s="211"/>
      <c r="X21" s="211">
        <v>26</v>
      </c>
      <c r="Y21" s="211"/>
      <c r="Z21" s="211"/>
      <c r="AA21" s="211">
        <v>6</v>
      </c>
      <c r="AB21" s="211"/>
      <c r="AC21" s="285">
        <v>205.5863</v>
      </c>
      <c r="AD21" s="286">
        <v>15.22</v>
      </c>
    </row>
    <row r="22" spans="1:30" ht="23.25" customHeight="1">
      <c r="A22" s="258">
        <v>16</v>
      </c>
      <c r="B22" s="259" t="s">
        <v>899</v>
      </c>
      <c r="C22" s="205"/>
      <c r="D22" s="205" t="s">
        <v>150</v>
      </c>
      <c r="E22" s="205"/>
      <c r="F22" s="211">
        <v>49.768</v>
      </c>
      <c r="G22" s="211"/>
      <c r="H22" s="257">
        <f t="shared" si="0"/>
        <v>49.768</v>
      </c>
      <c r="I22" s="211">
        <v>610</v>
      </c>
      <c r="J22" s="211">
        <v>16</v>
      </c>
      <c r="K22" s="211">
        <v>530</v>
      </c>
      <c r="L22" s="211">
        <v>8</v>
      </c>
      <c r="M22" s="257">
        <f t="shared" si="1"/>
        <v>1140</v>
      </c>
      <c r="N22" s="257">
        <f t="shared" si="1"/>
        <v>24</v>
      </c>
      <c r="O22" s="257">
        <f t="shared" si="4"/>
        <v>72</v>
      </c>
      <c r="P22" s="257">
        <f t="shared" si="2"/>
        <v>72</v>
      </c>
      <c r="Q22" s="211"/>
      <c r="R22" s="211">
        <v>1</v>
      </c>
      <c r="S22" s="257"/>
      <c r="T22" s="257">
        <f t="shared" si="3"/>
        <v>1</v>
      </c>
      <c r="U22" s="257"/>
      <c r="V22" s="211"/>
      <c r="W22" s="211"/>
      <c r="X22" s="211">
        <v>30</v>
      </c>
      <c r="Y22" s="211">
        <v>1</v>
      </c>
      <c r="Z22" s="211"/>
      <c r="AA22" s="211">
        <v>22</v>
      </c>
      <c r="AB22" s="211"/>
      <c r="AC22" s="285">
        <v>300.2997</v>
      </c>
      <c r="AD22" s="286">
        <v>13.01</v>
      </c>
    </row>
    <row r="23" spans="1:30" ht="23.25" customHeight="1">
      <c r="A23" s="258">
        <v>17</v>
      </c>
      <c r="B23" s="260" t="s">
        <v>900</v>
      </c>
      <c r="C23" s="205"/>
      <c r="D23" s="205" t="s">
        <v>150</v>
      </c>
      <c r="E23" s="205"/>
      <c r="F23" s="211">
        <v>23.192</v>
      </c>
      <c r="G23" s="211"/>
      <c r="H23" s="257">
        <f t="shared" si="0"/>
        <v>23.192</v>
      </c>
      <c r="I23" s="211">
        <v>170</v>
      </c>
      <c r="J23" s="211">
        <v>4</v>
      </c>
      <c r="K23" s="211">
        <v>1140</v>
      </c>
      <c r="L23" s="211">
        <v>6</v>
      </c>
      <c r="M23" s="257">
        <f aca="true" t="shared" si="5" ref="M23:N29">I23+K23</f>
        <v>1310</v>
      </c>
      <c r="N23" s="257">
        <f t="shared" si="5"/>
        <v>10</v>
      </c>
      <c r="O23" s="257">
        <f t="shared" si="4"/>
        <v>30</v>
      </c>
      <c r="P23" s="257">
        <f t="shared" si="2"/>
        <v>30</v>
      </c>
      <c r="Q23" s="211"/>
      <c r="R23" s="211">
        <v>1</v>
      </c>
      <c r="S23" s="257"/>
      <c r="T23" s="257">
        <f t="shared" si="3"/>
        <v>1</v>
      </c>
      <c r="U23" s="257"/>
      <c r="V23" s="211"/>
      <c r="W23" s="211"/>
      <c r="X23" s="211">
        <v>15</v>
      </c>
      <c r="Y23" s="211"/>
      <c r="Z23" s="211"/>
      <c r="AA23" s="211">
        <v>12</v>
      </c>
      <c r="AB23" s="211"/>
      <c r="AC23" s="285">
        <v>44.1807</v>
      </c>
      <c r="AD23" s="286">
        <v>13.85</v>
      </c>
    </row>
    <row r="24" spans="1:30" ht="23.25" customHeight="1">
      <c r="A24" s="258">
        <v>18</v>
      </c>
      <c r="B24" s="260" t="s">
        <v>901</v>
      </c>
      <c r="C24" s="205"/>
      <c r="D24" s="205" t="s">
        <v>150</v>
      </c>
      <c r="E24" s="205"/>
      <c r="F24" s="211">
        <v>55.66</v>
      </c>
      <c r="G24" s="211">
        <v>4.31</v>
      </c>
      <c r="H24" s="257">
        <f t="shared" si="0"/>
        <v>59.97</v>
      </c>
      <c r="I24" s="211">
        <v>220</v>
      </c>
      <c r="J24" s="211">
        <v>11</v>
      </c>
      <c r="K24" s="211">
        <v>1100</v>
      </c>
      <c r="L24" s="211">
        <v>7</v>
      </c>
      <c r="M24" s="257">
        <f t="shared" si="5"/>
        <v>1320</v>
      </c>
      <c r="N24" s="257">
        <f t="shared" si="5"/>
        <v>18</v>
      </c>
      <c r="O24" s="257">
        <f t="shared" si="4"/>
        <v>54</v>
      </c>
      <c r="P24" s="257">
        <f t="shared" si="2"/>
        <v>54</v>
      </c>
      <c r="Q24" s="211"/>
      <c r="R24" s="211">
        <v>1</v>
      </c>
      <c r="S24" s="257"/>
      <c r="T24" s="257">
        <f t="shared" si="3"/>
        <v>1</v>
      </c>
      <c r="U24" s="257"/>
      <c r="V24" s="211"/>
      <c r="W24" s="211"/>
      <c r="X24" s="211">
        <v>5</v>
      </c>
      <c r="Y24" s="211">
        <v>1</v>
      </c>
      <c r="Z24" s="211">
        <v>1</v>
      </c>
      <c r="AA24" s="211">
        <v>12</v>
      </c>
      <c r="AB24" s="211"/>
      <c r="AC24" s="285">
        <v>105.1924</v>
      </c>
      <c r="AD24" s="286">
        <v>3.16</v>
      </c>
    </row>
    <row r="25" spans="1:30" ht="23.25" customHeight="1">
      <c r="A25" s="258">
        <v>19</v>
      </c>
      <c r="B25" s="259" t="s">
        <v>902</v>
      </c>
      <c r="C25" s="261"/>
      <c r="D25" s="205" t="s">
        <v>150</v>
      </c>
      <c r="E25" s="261"/>
      <c r="F25" s="262">
        <v>19.995</v>
      </c>
      <c r="G25" s="262"/>
      <c r="H25" s="262">
        <f t="shared" si="0"/>
        <v>19.995</v>
      </c>
      <c r="I25" s="262">
        <v>310</v>
      </c>
      <c r="J25" s="262">
        <v>8</v>
      </c>
      <c r="K25" s="262">
        <v>2120</v>
      </c>
      <c r="L25" s="262">
        <v>9</v>
      </c>
      <c r="M25" s="262">
        <f t="shared" si="5"/>
        <v>2430</v>
      </c>
      <c r="N25" s="262">
        <f t="shared" si="5"/>
        <v>17</v>
      </c>
      <c r="O25" s="262">
        <f t="shared" si="4"/>
        <v>51</v>
      </c>
      <c r="P25" s="257">
        <f t="shared" si="2"/>
        <v>51</v>
      </c>
      <c r="Q25" s="262"/>
      <c r="R25" s="262">
        <v>1</v>
      </c>
      <c r="S25" s="257"/>
      <c r="T25" s="257">
        <f t="shared" si="3"/>
        <v>1</v>
      </c>
      <c r="U25" s="257"/>
      <c r="V25" s="262"/>
      <c r="W25" s="262"/>
      <c r="X25" s="262"/>
      <c r="Y25" s="262"/>
      <c r="Z25" s="262"/>
      <c r="AA25" s="262"/>
      <c r="AB25" s="262"/>
      <c r="AC25" s="285">
        <v>731.6031</v>
      </c>
      <c r="AD25" s="286">
        <v>14.29</v>
      </c>
    </row>
    <row r="26" spans="1:30" ht="23.25" customHeight="1">
      <c r="A26" s="258">
        <v>20</v>
      </c>
      <c r="B26" s="259" t="s">
        <v>903</v>
      </c>
      <c r="C26" s="203"/>
      <c r="D26" s="205" t="s">
        <v>150</v>
      </c>
      <c r="E26" s="203"/>
      <c r="F26" s="243">
        <v>35.701</v>
      </c>
      <c r="G26" s="257"/>
      <c r="H26" s="257">
        <f t="shared" si="0"/>
        <v>35.701</v>
      </c>
      <c r="I26" s="257">
        <v>610</v>
      </c>
      <c r="J26" s="257">
        <v>18</v>
      </c>
      <c r="K26" s="257">
        <v>4345</v>
      </c>
      <c r="L26" s="257">
        <v>20</v>
      </c>
      <c r="M26" s="257">
        <f t="shared" si="5"/>
        <v>4955</v>
      </c>
      <c r="N26" s="257">
        <f t="shared" si="5"/>
        <v>38</v>
      </c>
      <c r="O26" s="257">
        <f t="shared" si="4"/>
        <v>114</v>
      </c>
      <c r="P26" s="257">
        <f t="shared" si="2"/>
        <v>114</v>
      </c>
      <c r="Q26" s="257"/>
      <c r="R26" s="257">
        <v>1</v>
      </c>
      <c r="S26" s="257"/>
      <c r="T26" s="257">
        <f t="shared" si="3"/>
        <v>1</v>
      </c>
      <c r="U26" s="257"/>
      <c r="V26" s="257"/>
      <c r="W26" s="257"/>
      <c r="X26" s="257"/>
      <c r="Y26" s="257"/>
      <c r="Z26" s="257"/>
      <c r="AA26" s="257"/>
      <c r="AB26" s="257"/>
      <c r="AC26" s="285">
        <v>554.0857</v>
      </c>
      <c r="AD26" s="286">
        <v>14.83</v>
      </c>
    </row>
    <row r="27" spans="1:30" ht="23.25" customHeight="1">
      <c r="A27" s="258">
        <v>21</v>
      </c>
      <c r="B27" s="260" t="s">
        <v>904</v>
      </c>
      <c r="C27" s="205"/>
      <c r="D27" s="205" t="s">
        <v>150</v>
      </c>
      <c r="E27" s="205"/>
      <c r="F27" s="262">
        <v>51.7</v>
      </c>
      <c r="G27" s="211"/>
      <c r="H27" s="257">
        <f t="shared" si="0"/>
        <v>51.7</v>
      </c>
      <c r="I27" s="211">
        <v>390</v>
      </c>
      <c r="J27" s="211">
        <v>15</v>
      </c>
      <c r="K27" s="211">
        <v>315</v>
      </c>
      <c r="L27" s="211">
        <v>1</v>
      </c>
      <c r="M27" s="257">
        <f t="shared" si="5"/>
        <v>705</v>
      </c>
      <c r="N27" s="257">
        <f t="shared" si="5"/>
        <v>16</v>
      </c>
      <c r="O27" s="257">
        <v>57</v>
      </c>
      <c r="P27" s="257">
        <v>51</v>
      </c>
      <c r="Q27" s="211"/>
      <c r="R27" s="211">
        <v>1</v>
      </c>
      <c r="S27" s="257"/>
      <c r="T27" s="257">
        <f t="shared" si="3"/>
        <v>1</v>
      </c>
      <c r="U27" s="257"/>
      <c r="V27" s="211"/>
      <c r="W27" s="211"/>
      <c r="X27" s="211">
        <v>16</v>
      </c>
      <c r="Y27" s="211">
        <v>1</v>
      </c>
      <c r="Z27" s="211">
        <v>16</v>
      </c>
      <c r="AA27" s="211">
        <v>2</v>
      </c>
      <c r="AB27" s="211"/>
      <c r="AC27" s="285">
        <v>90.3903</v>
      </c>
      <c r="AD27" s="286">
        <v>10.84</v>
      </c>
    </row>
    <row r="28" spans="1:30" ht="23.25" customHeight="1">
      <c r="A28" s="257">
        <v>22</v>
      </c>
      <c r="B28" s="260" t="s">
        <v>905</v>
      </c>
      <c r="C28" s="205"/>
      <c r="D28" s="205"/>
      <c r="E28" s="205" t="s">
        <v>150</v>
      </c>
      <c r="F28" s="263"/>
      <c r="G28" s="211">
        <v>4.884</v>
      </c>
      <c r="H28" s="257">
        <f>SUM(G28:G28)</f>
        <v>4.884</v>
      </c>
      <c r="I28" s="211"/>
      <c r="J28" s="211"/>
      <c r="K28" s="211">
        <v>3350</v>
      </c>
      <c r="L28" s="211">
        <v>4</v>
      </c>
      <c r="M28" s="257">
        <f t="shared" si="5"/>
        <v>3350</v>
      </c>
      <c r="N28" s="257">
        <f t="shared" si="5"/>
        <v>4</v>
      </c>
      <c r="O28" s="257">
        <f>P28</f>
        <v>12</v>
      </c>
      <c r="P28" s="257">
        <f aca="true" t="shared" si="6" ref="P28:P48">N28*3</f>
        <v>12</v>
      </c>
      <c r="Q28" s="211"/>
      <c r="R28" s="211">
        <v>1</v>
      </c>
      <c r="S28" s="211"/>
      <c r="T28" s="257">
        <f>SUM(Q28:S28)</f>
        <v>1</v>
      </c>
      <c r="U28" s="211"/>
      <c r="V28" s="211"/>
      <c r="W28" s="211"/>
      <c r="X28" s="211"/>
      <c r="Y28" s="211"/>
      <c r="Z28" s="211"/>
      <c r="AA28" s="211"/>
      <c r="AB28" s="211"/>
      <c r="AC28" s="285">
        <v>224.28</v>
      </c>
      <c r="AD28" s="287"/>
    </row>
    <row r="29" spans="1:30" ht="23.25" customHeight="1">
      <c r="A29" s="257">
        <v>23</v>
      </c>
      <c r="B29" s="260" t="s">
        <v>906</v>
      </c>
      <c r="C29" s="205"/>
      <c r="D29" s="205"/>
      <c r="E29" s="205" t="s">
        <v>150</v>
      </c>
      <c r="F29" s="263"/>
      <c r="G29" s="211">
        <v>0.29</v>
      </c>
      <c r="H29" s="257">
        <f>SUM(F29:G29)</f>
        <v>0.29</v>
      </c>
      <c r="I29" s="211"/>
      <c r="J29" s="211"/>
      <c r="K29" s="211">
        <v>945</v>
      </c>
      <c r="L29" s="211">
        <v>2</v>
      </c>
      <c r="M29" s="257">
        <f t="shared" si="5"/>
        <v>945</v>
      </c>
      <c r="N29" s="257">
        <f t="shared" si="5"/>
        <v>2</v>
      </c>
      <c r="O29" s="257">
        <f>P29</f>
        <v>6</v>
      </c>
      <c r="P29" s="257">
        <f t="shared" si="6"/>
        <v>6</v>
      </c>
      <c r="Q29" s="211"/>
      <c r="R29" s="211">
        <v>1</v>
      </c>
      <c r="S29" s="211"/>
      <c r="T29" s="257">
        <f aca="true" t="shared" si="7" ref="T29:T48">SUM(Q29:S29)</f>
        <v>1</v>
      </c>
      <c r="U29" s="211"/>
      <c r="V29" s="211"/>
      <c r="W29" s="211"/>
      <c r="X29" s="211"/>
      <c r="Y29" s="211"/>
      <c r="Z29" s="211"/>
      <c r="AA29" s="211"/>
      <c r="AB29" s="211"/>
      <c r="AC29" s="285">
        <v>1383.4414</v>
      </c>
      <c r="AD29" s="287">
        <v>0</v>
      </c>
    </row>
    <row r="30" spans="1:30" ht="23.25" customHeight="1">
      <c r="A30" s="257">
        <v>24</v>
      </c>
      <c r="B30" s="259" t="s">
        <v>907</v>
      </c>
      <c r="C30" s="203"/>
      <c r="D30" s="203"/>
      <c r="E30" s="203" t="s">
        <v>150</v>
      </c>
      <c r="F30" s="263"/>
      <c r="G30" s="257">
        <v>13</v>
      </c>
      <c r="H30" s="257">
        <f aca="true" t="shared" si="8" ref="H30:H48">SUM(F30:G30)</f>
        <v>13</v>
      </c>
      <c r="I30" s="257"/>
      <c r="J30" s="257"/>
      <c r="K30" s="257">
        <v>3605</v>
      </c>
      <c r="L30" s="257">
        <v>8</v>
      </c>
      <c r="M30" s="257">
        <f aca="true" t="shared" si="9" ref="M30:N48">I30+K30</f>
        <v>3605</v>
      </c>
      <c r="N30" s="257">
        <f t="shared" si="9"/>
        <v>8</v>
      </c>
      <c r="O30" s="257">
        <f aca="true" t="shared" si="10" ref="O30:O48">P30</f>
        <v>24</v>
      </c>
      <c r="P30" s="257">
        <f t="shared" si="6"/>
        <v>24</v>
      </c>
      <c r="Q30" s="257"/>
      <c r="R30" s="257">
        <v>2</v>
      </c>
      <c r="S30" s="257"/>
      <c r="T30" s="257">
        <f t="shared" si="7"/>
        <v>2</v>
      </c>
      <c r="U30" s="257"/>
      <c r="V30" s="257"/>
      <c r="W30" s="257"/>
      <c r="X30" s="257">
        <v>2</v>
      </c>
      <c r="Y30" s="257"/>
      <c r="Z30" s="257"/>
      <c r="AA30" s="257">
        <v>2</v>
      </c>
      <c r="AB30" s="257"/>
      <c r="AC30" s="285">
        <v>2.036</v>
      </c>
      <c r="AD30" s="257">
        <v>0</v>
      </c>
    </row>
    <row r="31" spans="1:30" ht="23.25" customHeight="1">
      <c r="A31" s="257">
        <v>25</v>
      </c>
      <c r="B31" s="259" t="s">
        <v>908</v>
      </c>
      <c r="C31" s="203"/>
      <c r="D31" s="203"/>
      <c r="E31" s="203" t="s">
        <v>150</v>
      </c>
      <c r="F31" s="263"/>
      <c r="G31" s="257">
        <v>11.47</v>
      </c>
      <c r="H31" s="257">
        <f t="shared" si="8"/>
        <v>11.47</v>
      </c>
      <c r="I31" s="257"/>
      <c r="J31" s="257"/>
      <c r="K31" s="257">
        <v>1735</v>
      </c>
      <c r="L31" s="257">
        <v>5</v>
      </c>
      <c r="M31" s="257">
        <f t="shared" si="9"/>
        <v>1735</v>
      </c>
      <c r="N31" s="257">
        <f t="shared" si="9"/>
        <v>5</v>
      </c>
      <c r="O31" s="257">
        <f t="shared" si="10"/>
        <v>15</v>
      </c>
      <c r="P31" s="257">
        <f t="shared" si="6"/>
        <v>15</v>
      </c>
      <c r="Q31" s="257"/>
      <c r="R31" s="257">
        <v>1</v>
      </c>
      <c r="S31" s="257"/>
      <c r="T31" s="257">
        <f t="shared" si="7"/>
        <v>1</v>
      </c>
      <c r="U31" s="257"/>
      <c r="V31" s="257"/>
      <c r="W31" s="257"/>
      <c r="X31" s="257">
        <v>1</v>
      </c>
      <c r="Y31" s="257"/>
      <c r="Z31" s="257"/>
      <c r="AA31" s="257">
        <v>2</v>
      </c>
      <c r="AB31" s="257"/>
      <c r="AC31" s="285">
        <v>239.322</v>
      </c>
      <c r="AD31" s="257">
        <v>0</v>
      </c>
    </row>
    <row r="32" spans="1:30" ht="23.25" customHeight="1">
      <c r="A32" s="257">
        <v>26</v>
      </c>
      <c r="B32" s="259" t="s">
        <v>909</v>
      </c>
      <c r="C32" s="203"/>
      <c r="D32" s="203"/>
      <c r="E32" s="203" t="s">
        <v>150</v>
      </c>
      <c r="F32" s="263"/>
      <c r="G32" s="257">
        <v>17.81</v>
      </c>
      <c r="H32" s="257">
        <f t="shared" si="8"/>
        <v>17.81</v>
      </c>
      <c r="I32" s="257"/>
      <c r="J32" s="257"/>
      <c r="K32" s="257">
        <v>2085</v>
      </c>
      <c r="L32" s="257">
        <v>9</v>
      </c>
      <c r="M32" s="257">
        <f t="shared" si="9"/>
        <v>2085</v>
      </c>
      <c r="N32" s="257">
        <f t="shared" si="9"/>
        <v>9</v>
      </c>
      <c r="O32" s="257">
        <f t="shared" si="10"/>
        <v>27</v>
      </c>
      <c r="P32" s="257">
        <f t="shared" si="6"/>
        <v>27</v>
      </c>
      <c r="Q32" s="257"/>
      <c r="R32" s="257">
        <v>1</v>
      </c>
      <c r="S32" s="257"/>
      <c r="T32" s="257">
        <f t="shared" si="7"/>
        <v>1</v>
      </c>
      <c r="U32" s="257"/>
      <c r="V32" s="257"/>
      <c r="W32" s="257"/>
      <c r="X32" s="257">
        <v>1</v>
      </c>
      <c r="Y32" s="257"/>
      <c r="Z32" s="257"/>
      <c r="AA32" s="257">
        <v>2</v>
      </c>
      <c r="AB32" s="257"/>
      <c r="AC32" s="285">
        <v>24.3813</v>
      </c>
      <c r="AD32" s="286">
        <v>7.14</v>
      </c>
    </row>
    <row r="33" spans="1:30" ht="23.25" customHeight="1">
      <c r="A33" s="257">
        <v>27</v>
      </c>
      <c r="B33" s="259" t="s">
        <v>910</v>
      </c>
      <c r="C33" s="203"/>
      <c r="D33" s="203"/>
      <c r="E33" s="203" t="s">
        <v>150</v>
      </c>
      <c r="F33" s="263"/>
      <c r="G33" s="257">
        <v>10.784</v>
      </c>
      <c r="H33" s="257">
        <f t="shared" si="8"/>
        <v>10.784</v>
      </c>
      <c r="I33" s="257"/>
      <c r="J33" s="257"/>
      <c r="K33" s="257">
        <v>1345</v>
      </c>
      <c r="L33" s="257">
        <v>4</v>
      </c>
      <c r="M33" s="257">
        <f t="shared" si="9"/>
        <v>1345</v>
      </c>
      <c r="N33" s="257">
        <f t="shared" si="9"/>
        <v>4</v>
      </c>
      <c r="O33" s="257">
        <f t="shared" si="10"/>
        <v>12</v>
      </c>
      <c r="P33" s="257">
        <f t="shared" si="6"/>
        <v>12</v>
      </c>
      <c r="Q33" s="257"/>
      <c r="R33" s="257">
        <v>1</v>
      </c>
      <c r="S33" s="257"/>
      <c r="T33" s="257">
        <f t="shared" si="7"/>
        <v>1</v>
      </c>
      <c r="U33" s="257"/>
      <c r="V33" s="257"/>
      <c r="W33" s="257"/>
      <c r="X33" s="257">
        <v>1</v>
      </c>
      <c r="Y33" s="257"/>
      <c r="Z33" s="257"/>
      <c r="AA33" s="257">
        <v>2</v>
      </c>
      <c r="AB33" s="257"/>
      <c r="AC33" s="288">
        <v>52.41</v>
      </c>
      <c r="AD33" s="286">
        <v>0</v>
      </c>
    </row>
    <row r="34" spans="1:30" ht="23.25" customHeight="1">
      <c r="A34" s="257">
        <v>28</v>
      </c>
      <c r="B34" s="259" t="s">
        <v>863</v>
      </c>
      <c r="C34" s="203"/>
      <c r="D34" s="203"/>
      <c r="E34" s="203" t="s">
        <v>150</v>
      </c>
      <c r="F34" s="263"/>
      <c r="G34" s="257">
        <v>17.144</v>
      </c>
      <c r="H34" s="257">
        <f t="shared" si="8"/>
        <v>17.144</v>
      </c>
      <c r="I34" s="257"/>
      <c r="J34" s="257"/>
      <c r="K34" s="257">
        <v>4601</v>
      </c>
      <c r="L34" s="257">
        <v>13</v>
      </c>
      <c r="M34" s="257">
        <f t="shared" si="9"/>
        <v>4601</v>
      </c>
      <c r="N34" s="257">
        <f t="shared" si="9"/>
        <v>13</v>
      </c>
      <c r="O34" s="257">
        <f t="shared" si="10"/>
        <v>39</v>
      </c>
      <c r="P34" s="257">
        <f t="shared" si="6"/>
        <v>39</v>
      </c>
      <c r="Q34" s="257"/>
      <c r="R34" s="257">
        <v>1</v>
      </c>
      <c r="S34" s="257"/>
      <c r="T34" s="257">
        <f t="shared" si="7"/>
        <v>1</v>
      </c>
      <c r="U34" s="257"/>
      <c r="V34" s="257"/>
      <c r="W34" s="257"/>
      <c r="X34" s="257">
        <v>1</v>
      </c>
      <c r="Y34" s="257"/>
      <c r="Z34" s="257"/>
      <c r="AA34" s="257">
        <v>2</v>
      </c>
      <c r="AB34" s="257"/>
      <c r="AC34" s="288">
        <v>2743.0274</v>
      </c>
      <c r="AD34" s="257">
        <v>0</v>
      </c>
    </row>
    <row r="35" spans="1:30" ht="23.25" customHeight="1">
      <c r="A35" s="257">
        <v>29</v>
      </c>
      <c r="B35" s="259" t="s">
        <v>911</v>
      </c>
      <c r="C35" s="203"/>
      <c r="D35" s="203"/>
      <c r="E35" s="203" t="s">
        <v>150</v>
      </c>
      <c r="F35" s="263"/>
      <c r="G35" s="257">
        <v>20.473</v>
      </c>
      <c r="H35" s="257">
        <f t="shared" si="8"/>
        <v>20.473</v>
      </c>
      <c r="I35" s="257"/>
      <c r="J35" s="257"/>
      <c r="K35" s="257">
        <v>3938</v>
      </c>
      <c r="L35" s="257">
        <v>12</v>
      </c>
      <c r="M35" s="257">
        <f t="shared" si="9"/>
        <v>3938</v>
      </c>
      <c r="N35" s="257">
        <f t="shared" si="9"/>
        <v>12</v>
      </c>
      <c r="O35" s="257">
        <f t="shared" si="10"/>
        <v>36</v>
      </c>
      <c r="P35" s="257">
        <f t="shared" si="6"/>
        <v>36</v>
      </c>
      <c r="Q35" s="257"/>
      <c r="R35" s="257">
        <v>1</v>
      </c>
      <c r="S35" s="257"/>
      <c r="T35" s="257">
        <f t="shared" si="7"/>
        <v>1</v>
      </c>
      <c r="U35" s="257"/>
      <c r="V35" s="257"/>
      <c r="W35" s="257"/>
      <c r="X35" s="257">
        <v>1</v>
      </c>
      <c r="Y35" s="257"/>
      <c r="Z35" s="257"/>
      <c r="AA35" s="257">
        <v>2</v>
      </c>
      <c r="AB35" s="257"/>
      <c r="AC35" s="289"/>
      <c r="AD35" s="257">
        <v>0</v>
      </c>
    </row>
    <row r="36" spans="1:30" ht="23.25" customHeight="1">
      <c r="A36" s="257">
        <v>30</v>
      </c>
      <c r="B36" s="259" t="s">
        <v>912</v>
      </c>
      <c r="C36" s="203"/>
      <c r="D36" s="203"/>
      <c r="E36" s="203" t="s">
        <v>150</v>
      </c>
      <c r="F36" s="263"/>
      <c r="G36" s="257">
        <v>9.063</v>
      </c>
      <c r="H36" s="257">
        <f t="shared" si="8"/>
        <v>9.063</v>
      </c>
      <c r="I36" s="257"/>
      <c r="J36" s="257"/>
      <c r="K36" s="257">
        <v>1638</v>
      </c>
      <c r="L36" s="257">
        <v>6</v>
      </c>
      <c r="M36" s="257">
        <f t="shared" si="9"/>
        <v>1638</v>
      </c>
      <c r="N36" s="257">
        <f t="shared" si="9"/>
        <v>6</v>
      </c>
      <c r="O36" s="257">
        <f t="shared" si="10"/>
        <v>18</v>
      </c>
      <c r="P36" s="257">
        <f t="shared" si="6"/>
        <v>18</v>
      </c>
      <c r="Q36" s="257"/>
      <c r="R36" s="257">
        <v>1</v>
      </c>
      <c r="S36" s="257"/>
      <c r="T36" s="257">
        <f t="shared" si="7"/>
        <v>1</v>
      </c>
      <c r="U36" s="257"/>
      <c r="V36" s="257"/>
      <c r="W36" s="257"/>
      <c r="X36" s="257">
        <v>1</v>
      </c>
      <c r="Y36" s="257"/>
      <c r="Z36" s="257"/>
      <c r="AA36" s="257">
        <v>2</v>
      </c>
      <c r="AB36" s="257"/>
      <c r="AC36" s="289"/>
      <c r="AD36" s="257">
        <v>0</v>
      </c>
    </row>
    <row r="37" spans="1:30" ht="23.25" customHeight="1">
      <c r="A37" s="257">
        <v>31</v>
      </c>
      <c r="B37" s="259" t="s">
        <v>913</v>
      </c>
      <c r="C37" s="203"/>
      <c r="D37" s="203"/>
      <c r="E37" s="203" t="s">
        <v>150</v>
      </c>
      <c r="F37" s="264"/>
      <c r="G37" s="257">
        <v>18.752</v>
      </c>
      <c r="H37" s="257">
        <f t="shared" si="8"/>
        <v>18.752</v>
      </c>
      <c r="I37" s="257"/>
      <c r="J37" s="257"/>
      <c r="K37" s="257">
        <v>2525</v>
      </c>
      <c r="L37" s="257">
        <v>11</v>
      </c>
      <c r="M37" s="257">
        <f t="shared" si="9"/>
        <v>2525</v>
      </c>
      <c r="N37" s="257">
        <f t="shared" si="9"/>
        <v>11</v>
      </c>
      <c r="O37" s="257">
        <f t="shared" si="10"/>
        <v>33</v>
      </c>
      <c r="P37" s="257">
        <f t="shared" si="6"/>
        <v>33</v>
      </c>
      <c r="Q37" s="257"/>
      <c r="R37" s="257">
        <v>1</v>
      </c>
      <c r="S37" s="257"/>
      <c r="T37" s="257">
        <f t="shared" si="7"/>
        <v>1</v>
      </c>
      <c r="U37" s="257"/>
      <c r="V37" s="257"/>
      <c r="W37" s="257"/>
      <c r="X37" s="257">
        <v>1</v>
      </c>
      <c r="Y37" s="257"/>
      <c r="Z37" s="257"/>
      <c r="AA37" s="257">
        <v>2</v>
      </c>
      <c r="AB37" s="257"/>
      <c r="AC37" s="289"/>
      <c r="AD37" s="257">
        <v>0</v>
      </c>
    </row>
    <row r="38" spans="1:30" ht="23.25" customHeight="1">
      <c r="A38" s="257">
        <v>32</v>
      </c>
      <c r="B38" s="259" t="s">
        <v>914</v>
      </c>
      <c r="C38" s="203"/>
      <c r="D38" s="203"/>
      <c r="E38" s="203" t="s">
        <v>150</v>
      </c>
      <c r="F38" s="264"/>
      <c r="G38" s="257">
        <v>7.038</v>
      </c>
      <c r="H38" s="257">
        <f t="shared" si="8"/>
        <v>7.038</v>
      </c>
      <c r="I38" s="257"/>
      <c r="J38" s="257"/>
      <c r="K38" s="257">
        <v>5260</v>
      </c>
      <c r="L38" s="257">
        <v>8</v>
      </c>
      <c r="M38" s="257">
        <f t="shared" si="9"/>
        <v>5260</v>
      </c>
      <c r="N38" s="257">
        <f t="shared" si="9"/>
        <v>8</v>
      </c>
      <c r="O38" s="257">
        <f t="shared" si="10"/>
        <v>24</v>
      </c>
      <c r="P38" s="257">
        <f t="shared" si="6"/>
        <v>24</v>
      </c>
      <c r="Q38" s="257"/>
      <c r="R38" s="257">
        <v>1</v>
      </c>
      <c r="S38" s="257"/>
      <c r="T38" s="257">
        <f t="shared" si="7"/>
        <v>1</v>
      </c>
      <c r="U38" s="257"/>
      <c r="V38" s="257"/>
      <c r="W38" s="257"/>
      <c r="X38" s="257">
        <v>1</v>
      </c>
      <c r="Y38" s="257"/>
      <c r="Z38" s="257"/>
      <c r="AA38" s="257">
        <v>2</v>
      </c>
      <c r="AB38" s="257"/>
      <c r="AC38" s="289"/>
      <c r="AD38" s="257">
        <v>0</v>
      </c>
    </row>
    <row r="39" spans="1:30" ht="23.25" customHeight="1">
      <c r="A39" s="257">
        <v>33</v>
      </c>
      <c r="B39" s="259" t="s">
        <v>915</v>
      </c>
      <c r="C39" s="205"/>
      <c r="D39" s="205"/>
      <c r="E39" s="205" t="s">
        <v>150</v>
      </c>
      <c r="F39" s="264"/>
      <c r="G39" s="211">
        <v>7.102</v>
      </c>
      <c r="H39" s="257">
        <f t="shared" si="8"/>
        <v>7.102</v>
      </c>
      <c r="I39" s="211"/>
      <c r="J39" s="211"/>
      <c r="K39" s="211"/>
      <c r="L39" s="211"/>
      <c r="M39" s="257">
        <f t="shared" si="9"/>
        <v>0</v>
      </c>
      <c r="N39" s="257">
        <f t="shared" si="9"/>
        <v>0</v>
      </c>
      <c r="O39" s="257">
        <f t="shared" si="10"/>
        <v>0</v>
      </c>
      <c r="P39" s="257">
        <f t="shared" si="6"/>
        <v>0</v>
      </c>
      <c r="Q39" s="211"/>
      <c r="R39" s="211">
        <v>1</v>
      </c>
      <c r="S39" s="211"/>
      <c r="T39" s="257">
        <f t="shared" si="7"/>
        <v>1</v>
      </c>
      <c r="U39" s="211"/>
      <c r="V39" s="211"/>
      <c r="W39" s="211"/>
      <c r="X39" s="211"/>
      <c r="Y39" s="211"/>
      <c r="Z39" s="211"/>
      <c r="AA39" s="211"/>
      <c r="AB39" s="211"/>
      <c r="AC39" s="287"/>
      <c r="AD39" s="211">
        <v>0</v>
      </c>
    </row>
    <row r="40" spans="1:30" ht="23.25" customHeight="1">
      <c r="A40" s="257">
        <v>34</v>
      </c>
      <c r="B40" s="259" t="s">
        <v>916</v>
      </c>
      <c r="C40" s="205"/>
      <c r="D40" s="205"/>
      <c r="E40" s="205" t="s">
        <v>150</v>
      </c>
      <c r="F40" s="264"/>
      <c r="G40" s="211">
        <v>6.79</v>
      </c>
      <c r="H40" s="257">
        <f t="shared" si="8"/>
        <v>6.79</v>
      </c>
      <c r="I40" s="211"/>
      <c r="J40" s="211"/>
      <c r="K40" s="211">
        <v>5260</v>
      </c>
      <c r="L40" s="211">
        <v>8</v>
      </c>
      <c r="M40" s="257">
        <f t="shared" si="9"/>
        <v>5260</v>
      </c>
      <c r="N40" s="257">
        <f t="shared" si="9"/>
        <v>8</v>
      </c>
      <c r="O40" s="257">
        <f t="shared" si="10"/>
        <v>24</v>
      </c>
      <c r="P40" s="257">
        <f t="shared" si="6"/>
        <v>24</v>
      </c>
      <c r="Q40" s="211"/>
      <c r="R40" s="211">
        <v>1</v>
      </c>
      <c r="S40" s="211"/>
      <c r="T40" s="257">
        <f t="shared" si="7"/>
        <v>1</v>
      </c>
      <c r="U40" s="211"/>
      <c r="V40" s="211"/>
      <c r="W40" s="211"/>
      <c r="X40" s="211">
        <v>1</v>
      </c>
      <c r="Y40" s="211"/>
      <c r="Z40" s="211"/>
      <c r="AA40" s="211">
        <v>2</v>
      </c>
      <c r="AB40" s="211"/>
      <c r="AC40" s="287"/>
      <c r="AD40" s="211">
        <v>0</v>
      </c>
    </row>
    <row r="41" spans="1:30" ht="23.25" customHeight="1">
      <c r="A41" s="257">
        <v>35</v>
      </c>
      <c r="B41" s="259" t="s">
        <v>917</v>
      </c>
      <c r="C41" s="205"/>
      <c r="D41" s="205"/>
      <c r="E41" s="205" t="s">
        <v>150</v>
      </c>
      <c r="F41" s="264"/>
      <c r="G41" s="211">
        <v>6.81</v>
      </c>
      <c r="H41" s="257">
        <f t="shared" si="8"/>
        <v>6.81</v>
      </c>
      <c r="I41" s="211"/>
      <c r="J41" s="211"/>
      <c r="K41" s="211"/>
      <c r="L41" s="211"/>
      <c r="M41" s="257">
        <f t="shared" si="9"/>
        <v>0</v>
      </c>
      <c r="N41" s="257">
        <f t="shared" si="9"/>
        <v>0</v>
      </c>
      <c r="O41" s="257">
        <f t="shared" si="10"/>
        <v>0</v>
      </c>
      <c r="P41" s="257">
        <f t="shared" si="6"/>
        <v>0</v>
      </c>
      <c r="Q41" s="211"/>
      <c r="R41" s="211">
        <v>1</v>
      </c>
      <c r="S41" s="211"/>
      <c r="T41" s="257">
        <f t="shared" si="7"/>
        <v>1</v>
      </c>
      <c r="U41" s="211"/>
      <c r="V41" s="211"/>
      <c r="W41" s="211"/>
      <c r="X41" s="211"/>
      <c r="Y41" s="211"/>
      <c r="Z41" s="211"/>
      <c r="AA41" s="211"/>
      <c r="AB41" s="211"/>
      <c r="AC41" s="287"/>
      <c r="AD41" s="211">
        <v>0</v>
      </c>
    </row>
    <row r="42" spans="1:30" ht="23.25" customHeight="1">
      <c r="A42" s="257">
        <v>36</v>
      </c>
      <c r="B42" s="259" t="s">
        <v>918</v>
      </c>
      <c r="C42" s="205"/>
      <c r="D42" s="205"/>
      <c r="E42" s="205" t="s">
        <v>150</v>
      </c>
      <c r="F42" s="264"/>
      <c r="G42" s="211">
        <v>11.9</v>
      </c>
      <c r="H42" s="257">
        <f t="shared" si="8"/>
        <v>11.9</v>
      </c>
      <c r="I42" s="211"/>
      <c r="J42" s="211"/>
      <c r="K42" s="211">
        <v>5260</v>
      </c>
      <c r="L42" s="211">
        <v>8</v>
      </c>
      <c r="M42" s="257">
        <f t="shared" si="9"/>
        <v>5260</v>
      </c>
      <c r="N42" s="257">
        <f t="shared" si="9"/>
        <v>8</v>
      </c>
      <c r="O42" s="257">
        <f t="shared" si="10"/>
        <v>24</v>
      </c>
      <c r="P42" s="257">
        <f t="shared" si="6"/>
        <v>24</v>
      </c>
      <c r="Q42" s="211"/>
      <c r="R42" s="211">
        <v>1</v>
      </c>
      <c r="S42" s="211"/>
      <c r="T42" s="257">
        <f t="shared" si="7"/>
        <v>1</v>
      </c>
      <c r="U42" s="211"/>
      <c r="V42" s="211"/>
      <c r="W42" s="211"/>
      <c r="X42" s="211"/>
      <c r="Y42" s="211"/>
      <c r="Z42" s="211"/>
      <c r="AA42" s="211"/>
      <c r="AB42" s="211"/>
      <c r="AC42" s="287"/>
      <c r="AD42" s="211">
        <v>0</v>
      </c>
    </row>
    <row r="43" spans="1:30" ht="23.25" customHeight="1">
      <c r="A43" s="257">
        <v>37</v>
      </c>
      <c r="B43" s="259" t="s">
        <v>919</v>
      </c>
      <c r="C43" s="205"/>
      <c r="D43" s="205"/>
      <c r="E43" s="205" t="s">
        <v>150</v>
      </c>
      <c r="F43" s="264"/>
      <c r="G43" s="211">
        <v>12.3</v>
      </c>
      <c r="H43" s="257">
        <f t="shared" si="8"/>
        <v>12.3</v>
      </c>
      <c r="I43" s="211"/>
      <c r="J43" s="211"/>
      <c r="K43" s="211"/>
      <c r="L43" s="211"/>
      <c r="M43" s="257">
        <f t="shared" si="9"/>
        <v>0</v>
      </c>
      <c r="N43" s="257">
        <f t="shared" si="9"/>
        <v>0</v>
      </c>
      <c r="O43" s="257">
        <f t="shared" si="10"/>
        <v>0</v>
      </c>
      <c r="P43" s="257">
        <f t="shared" si="6"/>
        <v>0</v>
      </c>
      <c r="Q43" s="211"/>
      <c r="R43" s="211">
        <v>1</v>
      </c>
      <c r="S43" s="211"/>
      <c r="T43" s="257">
        <f t="shared" si="7"/>
        <v>1</v>
      </c>
      <c r="U43" s="211"/>
      <c r="V43" s="211"/>
      <c r="W43" s="211"/>
      <c r="X43" s="211"/>
      <c r="Y43" s="211"/>
      <c r="Z43" s="211"/>
      <c r="AA43" s="211"/>
      <c r="AB43" s="211"/>
      <c r="AC43" s="287"/>
      <c r="AD43" s="211">
        <v>0</v>
      </c>
    </row>
    <row r="44" spans="1:30" ht="23.25" customHeight="1">
      <c r="A44" s="257">
        <v>38</v>
      </c>
      <c r="B44" s="259" t="s">
        <v>920</v>
      </c>
      <c r="C44" s="205"/>
      <c r="D44" s="205"/>
      <c r="E44" s="205" t="s">
        <v>150</v>
      </c>
      <c r="F44" s="264"/>
      <c r="G44" s="211">
        <v>0.12</v>
      </c>
      <c r="H44" s="257">
        <f t="shared" si="8"/>
        <v>0.12</v>
      </c>
      <c r="I44" s="211"/>
      <c r="J44" s="211"/>
      <c r="K44" s="211">
        <v>1000</v>
      </c>
      <c r="L44" s="211">
        <v>1</v>
      </c>
      <c r="M44" s="257">
        <f t="shared" si="9"/>
        <v>1000</v>
      </c>
      <c r="N44" s="257">
        <f t="shared" si="9"/>
        <v>1</v>
      </c>
      <c r="O44" s="257">
        <f t="shared" si="10"/>
        <v>3</v>
      </c>
      <c r="P44" s="257">
        <f t="shared" si="6"/>
        <v>3</v>
      </c>
      <c r="Q44" s="211"/>
      <c r="R44" s="211">
        <v>1</v>
      </c>
      <c r="S44" s="211"/>
      <c r="T44" s="257">
        <f t="shared" si="7"/>
        <v>1</v>
      </c>
      <c r="U44" s="211"/>
      <c r="V44" s="211"/>
      <c r="W44" s="211"/>
      <c r="X44" s="211"/>
      <c r="Y44" s="211"/>
      <c r="Z44" s="211"/>
      <c r="AA44" s="211"/>
      <c r="AB44" s="211"/>
      <c r="AC44" s="287"/>
      <c r="AD44" s="211">
        <v>0</v>
      </c>
    </row>
    <row r="45" spans="1:30" ht="23.25" customHeight="1">
      <c r="A45" s="257">
        <v>39</v>
      </c>
      <c r="B45" s="260" t="s">
        <v>921</v>
      </c>
      <c r="C45" s="205"/>
      <c r="D45" s="205"/>
      <c r="E45" s="205" t="s">
        <v>150</v>
      </c>
      <c r="F45" s="264"/>
      <c r="G45" s="211">
        <v>0.3</v>
      </c>
      <c r="H45" s="257">
        <f t="shared" si="8"/>
        <v>0.3</v>
      </c>
      <c r="I45" s="211"/>
      <c r="J45" s="211"/>
      <c r="K45" s="211"/>
      <c r="L45" s="211"/>
      <c r="M45" s="257">
        <f t="shared" si="9"/>
        <v>0</v>
      </c>
      <c r="N45" s="257">
        <f t="shared" si="9"/>
        <v>0</v>
      </c>
      <c r="O45" s="257">
        <f t="shared" si="10"/>
        <v>0</v>
      </c>
      <c r="P45" s="257">
        <f t="shared" si="6"/>
        <v>0</v>
      </c>
      <c r="Q45" s="211"/>
      <c r="R45" s="211">
        <v>1</v>
      </c>
      <c r="S45" s="211"/>
      <c r="T45" s="257">
        <f t="shared" si="7"/>
        <v>1</v>
      </c>
      <c r="U45" s="211"/>
      <c r="V45" s="211"/>
      <c r="W45" s="211"/>
      <c r="X45" s="211"/>
      <c r="Y45" s="211"/>
      <c r="Z45" s="211"/>
      <c r="AA45" s="211"/>
      <c r="AB45" s="211"/>
      <c r="AC45" s="287"/>
      <c r="AD45" s="211">
        <v>0</v>
      </c>
    </row>
    <row r="46" spans="1:30" s="240" customFormat="1" ht="23.25" customHeight="1">
      <c r="A46" s="265">
        <v>40</v>
      </c>
      <c r="B46" s="266" t="s">
        <v>922</v>
      </c>
      <c r="C46" s="267"/>
      <c r="D46" s="267"/>
      <c r="E46" s="267" t="s">
        <v>150</v>
      </c>
      <c r="F46" s="268"/>
      <c r="G46" s="269">
        <v>5.56</v>
      </c>
      <c r="H46" s="265">
        <f t="shared" si="8"/>
        <v>5.56</v>
      </c>
      <c r="I46" s="269"/>
      <c r="J46" s="269"/>
      <c r="K46" s="269"/>
      <c r="L46" s="269"/>
      <c r="M46" s="265">
        <f t="shared" si="9"/>
        <v>0</v>
      </c>
      <c r="N46" s="265">
        <f t="shared" si="9"/>
        <v>0</v>
      </c>
      <c r="O46" s="265">
        <f t="shared" si="10"/>
        <v>0</v>
      </c>
      <c r="P46" s="265">
        <f t="shared" si="6"/>
        <v>0</v>
      </c>
      <c r="Q46" s="269"/>
      <c r="R46" s="269">
        <v>1</v>
      </c>
      <c r="S46" s="269"/>
      <c r="T46" s="265">
        <f t="shared" si="7"/>
        <v>1</v>
      </c>
      <c r="U46" s="269"/>
      <c r="V46" s="269"/>
      <c r="W46" s="269"/>
      <c r="X46" s="269"/>
      <c r="Y46" s="269"/>
      <c r="Z46" s="269"/>
      <c r="AA46" s="269"/>
      <c r="AB46" s="269"/>
      <c r="AC46" s="290"/>
      <c r="AD46" s="269">
        <v>0</v>
      </c>
    </row>
    <row r="47" spans="1:30" s="240" customFormat="1" ht="23.25" customHeight="1">
      <c r="A47" s="265">
        <v>41</v>
      </c>
      <c r="B47" s="266" t="s">
        <v>923</v>
      </c>
      <c r="C47" s="267"/>
      <c r="D47" s="267"/>
      <c r="E47" s="267" t="s">
        <v>150</v>
      </c>
      <c r="F47" s="268"/>
      <c r="G47" s="269">
        <v>17.17</v>
      </c>
      <c r="H47" s="265">
        <f t="shared" si="8"/>
        <v>17.17</v>
      </c>
      <c r="I47" s="269">
        <v>160</v>
      </c>
      <c r="J47" s="269">
        <v>6</v>
      </c>
      <c r="K47" s="269">
        <v>300</v>
      </c>
      <c r="L47" s="269">
        <v>3</v>
      </c>
      <c r="M47" s="265">
        <f t="shared" si="9"/>
        <v>460</v>
      </c>
      <c r="N47" s="265">
        <f t="shared" si="9"/>
        <v>9</v>
      </c>
      <c r="O47" s="265">
        <f t="shared" si="10"/>
        <v>27</v>
      </c>
      <c r="P47" s="265">
        <f t="shared" si="6"/>
        <v>27</v>
      </c>
      <c r="Q47" s="269"/>
      <c r="R47" s="269">
        <v>1</v>
      </c>
      <c r="S47" s="269"/>
      <c r="T47" s="265">
        <f t="shared" si="7"/>
        <v>1</v>
      </c>
      <c r="U47" s="269"/>
      <c r="V47" s="269"/>
      <c r="W47" s="269"/>
      <c r="X47" s="269">
        <v>9</v>
      </c>
      <c r="Y47" s="269">
        <v>3</v>
      </c>
      <c r="Z47" s="269">
        <v>9</v>
      </c>
      <c r="AA47" s="269">
        <v>3</v>
      </c>
      <c r="AB47" s="269"/>
      <c r="AC47" s="291">
        <v>55.5024</v>
      </c>
      <c r="AD47" s="292">
        <v>7.6</v>
      </c>
    </row>
    <row r="48" spans="1:30" s="240" customFormat="1" ht="23.25" customHeight="1">
      <c r="A48" s="265">
        <v>42</v>
      </c>
      <c r="B48" s="266" t="s">
        <v>924</v>
      </c>
      <c r="C48" s="267"/>
      <c r="D48" s="267"/>
      <c r="E48" s="267" t="s">
        <v>150</v>
      </c>
      <c r="F48" s="270">
        <v>8.134</v>
      </c>
      <c r="G48" s="269">
        <v>9.515</v>
      </c>
      <c r="H48" s="265">
        <f t="shared" si="8"/>
        <v>17.649</v>
      </c>
      <c r="I48" s="269"/>
      <c r="J48" s="269"/>
      <c r="K48" s="269">
        <v>1260</v>
      </c>
      <c r="L48" s="269">
        <v>2</v>
      </c>
      <c r="M48" s="265">
        <f t="shared" si="9"/>
        <v>1260</v>
      </c>
      <c r="N48" s="265">
        <f t="shared" si="9"/>
        <v>2</v>
      </c>
      <c r="O48" s="265">
        <f t="shared" si="10"/>
        <v>6</v>
      </c>
      <c r="P48" s="265">
        <f t="shared" si="6"/>
        <v>6</v>
      </c>
      <c r="Q48" s="269"/>
      <c r="R48" s="269">
        <v>1</v>
      </c>
      <c r="S48" s="269"/>
      <c r="T48" s="265">
        <f t="shared" si="7"/>
        <v>1</v>
      </c>
      <c r="U48" s="269"/>
      <c r="V48" s="269"/>
      <c r="W48" s="269"/>
      <c r="X48" s="269"/>
      <c r="Y48" s="269"/>
      <c r="Z48" s="269"/>
      <c r="AA48" s="269"/>
      <c r="AB48" s="269"/>
      <c r="AC48" s="291">
        <v>217.684</v>
      </c>
      <c r="AD48" s="269">
        <v>0</v>
      </c>
    </row>
    <row r="49" spans="1:30" s="240" customFormat="1" ht="23.25" customHeight="1">
      <c r="A49" s="271" t="s">
        <v>209</v>
      </c>
      <c r="B49" s="271"/>
      <c r="C49" s="272">
        <v>2</v>
      </c>
      <c r="D49" s="272">
        <v>18</v>
      </c>
      <c r="E49" s="272">
        <v>22</v>
      </c>
      <c r="F49" s="272">
        <f>SUM(F7:F48)</f>
        <v>876.89</v>
      </c>
      <c r="G49" s="272">
        <f aca="true" t="shared" si="11" ref="G49:AC49">SUM(G7:G48)</f>
        <v>221.24500000000006</v>
      </c>
      <c r="H49" s="272">
        <f t="shared" si="11"/>
        <v>1098.1349999999998</v>
      </c>
      <c r="I49" s="272">
        <f t="shared" si="11"/>
        <v>19870</v>
      </c>
      <c r="J49" s="272">
        <f t="shared" si="11"/>
        <v>384</v>
      </c>
      <c r="K49" s="272">
        <f t="shared" si="11"/>
        <v>71860</v>
      </c>
      <c r="L49" s="272">
        <f t="shared" si="11"/>
        <v>258</v>
      </c>
      <c r="M49" s="272">
        <f t="shared" si="11"/>
        <v>91730</v>
      </c>
      <c r="N49" s="272">
        <f t="shared" si="11"/>
        <v>642</v>
      </c>
      <c r="O49" s="272">
        <f t="shared" si="11"/>
        <v>1986</v>
      </c>
      <c r="P49" s="272">
        <f t="shared" si="11"/>
        <v>1929</v>
      </c>
      <c r="Q49" s="272">
        <f t="shared" si="11"/>
        <v>2</v>
      </c>
      <c r="R49" s="272">
        <f t="shared" si="11"/>
        <v>50</v>
      </c>
      <c r="S49" s="272">
        <f t="shared" si="11"/>
        <v>4</v>
      </c>
      <c r="T49" s="272">
        <f t="shared" si="11"/>
        <v>56</v>
      </c>
      <c r="U49" s="272">
        <f t="shared" si="11"/>
        <v>0</v>
      </c>
      <c r="V49" s="272">
        <f t="shared" si="11"/>
        <v>0</v>
      </c>
      <c r="W49" s="272">
        <f t="shared" si="11"/>
        <v>4845</v>
      </c>
      <c r="X49" s="272">
        <f t="shared" si="11"/>
        <v>748</v>
      </c>
      <c r="Y49" s="272">
        <f t="shared" si="11"/>
        <v>20</v>
      </c>
      <c r="Z49" s="272">
        <f t="shared" si="11"/>
        <v>73</v>
      </c>
      <c r="AA49" s="272">
        <f t="shared" si="11"/>
        <v>434</v>
      </c>
      <c r="AB49" s="272">
        <f t="shared" si="11"/>
        <v>6</v>
      </c>
      <c r="AC49" s="272">
        <f t="shared" si="11"/>
        <v>11012.115099999997</v>
      </c>
      <c r="AD49" s="271">
        <v>8.44</v>
      </c>
    </row>
    <row r="50" spans="1:30" ht="23.25" customHeight="1">
      <c r="A50" s="273"/>
      <c r="B50" s="274" t="s">
        <v>210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82"/>
      <c r="AD50" s="293"/>
    </row>
    <row r="51" spans="1:29" ht="40.5" customHeight="1">
      <c r="A51" s="246"/>
      <c r="B51" s="276" t="s">
        <v>176</v>
      </c>
      <c r="C51" s="276"/>
      <c r="D51" s="276"/>
      <c r="E51" s="276"/>
      <c r="F51" s="276"/>
      <c r="G51" s="277" t="s">
        <v>925</v>
      </c>
      <c r="H51" s="277"/>
      <c r="I51" s="277"/>
      <c r="J51" s="277"/>
      <c r="K51" s="246"/>
      <c r="L51" s="246"/>
      <c r="M51" s="246"/>
      <c r="N51" s="246"/>
      <c r="O51" s="277" t="s">
        <v>177</v>
      </c>
      <c r="P51" s="277"/>
      <c r="Q51" s="277"/>
      <c r="R51" s="277"/>
      <c r="S51" s="277"/>
      <c r="T51" s="277"/>
      <c r="U51" s="277"/>
      <c r="V51" s="246"/>
      <c r="W51" s="246"/>
      <c r="X51" s="246"/>
      <c r="Y51" s="246"/>
      <c r="Z51" s="277" t="s">
        <v>211</v>
      </c>
      <c r="AA51" s="277"/>
      <c r="AB51" s="277"/>
      <c r="AC51" s="277"/>
    </row>
  </sheetData>
  <sheetProtection/>
  <mergeCells count="27">
    <mergeCell ref="A1:AD1"/>
    <mergeCell ref="E2:H2"/>
    <mergeCell ref="V2:Z2"/>
    <mergeCell ref="C3:E3"/>
    <mergeCell ref="F3:H3"/>
    <mergeCell ref="I3:N3"/>
    <mergeCell ref="Q3:T3"/>
    <mergeCell ref="U3:V3"/>
    <mergeCell ref="W3:Y3"/>
    <mergeCell ref="AA3:AB3"/>
    <mergeCell ref="A49:B49"/>
    <mergeCell ref="B51:F51"/>
    <mergeCell ref="G51:J51"/>
    <mergeCell ref="O51:U51"/>
    <mergeCell ref="Z51:AC51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 horizontalCentered="1" verticalCentered="1"/>
  <pageMargins left="0.34930555555555554" right="0.34930555555555554" top="0.38958333333333334" bottom="0.38958333333333334" header="0.5097222222222222" footer="0.5097222222222222"/>
  <pageSetup horizontalDpi="1200" verticalDpi="12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D42"/>
  <sheetViews>
    <sheetView zoomScale="75" zoomScaleNormal="75" workbookViewId="0" topLeftCell="A1">
      <pane xSplit="26" ySplit="6" topLeftCell="AA25" activePane="bottomRight" state="frozen"/>
      <selection pane="bottomRight" activeCell="A1" sqref="A1:AD1"/>
    </sheetView>
  </sheetViews>
  <sheetFormatPr defaultColWidth="9.00390625" defaultRowHeight="14.25"/>
  <cols>
    <col min="1" max="1" width="3.125" style="144" customWidth="1"/>
    <col min="2" max="2" width="19.25390625" style="144" bestFit="1" customWidth="1"/>
    <col min="3" max="4" width="3.75390625" style="144" customWidth="1"/>
    <col min="5" max="5" width="4.00390625" style="144" customWidth="1"/>
    <col min="6" max="6" width="9.00390625" style="144" customWidth="1"/>
    <col min="7" max="7" width="5.875" style="144" customWidth="1"/>
    <col min="8" max="8" width="9.75390625" style="144" customWidth="1"/>
    <col min="9" max="9" width="8.25390625" style="144" customWidth="1"/>
    <col min="10" max="10" width="6.50390625" style="144" customWidth="1"/>
    <col min="11" max="11" width="6.75390625" style="144" customWidth="1"/>
    <col min="12" max="12" width="7.00390625" style="144" customWidth="1"/>
    <col min="13" max="13" width="6.875" style="144" customWidth="1"/>
    <col min="14" max="14" width="5.50390625" style="144" bestFit="1" customWidth="1"/>
    <col min="15" max="15" width="8.875" style="144" customWidth="1"/>
    <col min="16" max="16" width="7.125" style="144" customWidth="1"/>
    <col min="17" max="17" width="3.75390625" style="144" customWidth="1"/>
    <col min="18" max="18" width="4.00390625" style="144" customWidth="1"/>
    <col min="19" max="19" width="3.625" style="144" customWidth="1"/>
    <col min="20" max="20" width="5.875" style="144" customWidth="1"/>
    <col min="21" max="21" width="6.875" style="144" customWidth="1"/>
    <col min="22" max="22" width="5.375" style="144" customWidth="1"/>
    <col min="23" max="24" width="6.75390625" style="144" customWidth="1"/>
    <col min="25" max="25" width="6.375" style="144" customWidth="1"/>
    <col min="26" max="27" width="6.50390625" style="144" customWidth="1"/>
    <col min="28" max="28" width="4.50390625" style="144" customWidth="1"/>
    <col min="29" max="29" width="9.625" style="144" customWidth="1"/>
    <col min="30" max="30" width="7.125" style="144" customWidth="1"/>
    <col min="31" max="31" width="4.375" style="144" customWidth="1"/>
    <col min="32" max="16384" width="9.00390625" style="144" customWidth="1"/>
  </cols>
  <sheetData>
    <row r="1" spans="1:30" ht="21">
      <c r="A1" s="146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28" ht="15">
      <c r="A2" s="144" t="s">
        <v>926</v>
      </c>
      <c r="V2" s="144" t="s">
        <v>927</v>
      </c>
      <c r="AB2" s="144" t="s">
        <v>101</v>
      </c>
    </row>
    <row r="3" spans="1:30" s="141" customFormat="1" ht="15">
      <c r="A3" s="148" t="s">
        <v>102</v>
      </c>
      <c r="B3" s="149" t="s">
        <v>103</v>
      </c>
      <c r="C3" s="149" t="s">
        <v>104</v>
      </c>
      <c r="D3" s="149"/>
      <c r="E3" s="149"/>
      <c r="F3" s="150" t="s">
        <v>105</v>
      </c>
      <c r="G3" s="151"/>
      <c r="H3" s="151"/>
      <c r="I3" s="151" t="s">
        <v>106</v>
      </c>
      <c r="J3" s="151"/>
      <c r="K3" s="151"/>
      <c r="L3" s="151"/>
      <c r="M3" s="151"/>
      <c r="N3" s="151"/>
      <c r="O3" s="148" t="s">
        <v>107</v>
      </c>
      <c r="P3" s="148" t="s">
        <v>108</v>
      </c>
      <c r="Q3" s="185" t="s">
        <v>109</v>
      </c>
      <c r="R3" s="186"/>
      <c r="S3" s="186"/>
      <c r="T3" s="150"/>
      <c r="U3" s="151" t="s">
        <v>110</v>
      </c>
      <c r="V3" s="151"/>
      <c r="W3" s="185" t="s">
        <v>111</v>
      </c>
      <c r="X3" s="186"/>
      <c r="Y3" s="150"/>
      <c r="Z3" s="148" t="s">
        <v>112</v>
      </c>
      <c r="AA3" s="151" t="s">
        <v>113</v>
      </c>
      <c r="AB3" s="151"/>
      <c r="AC3" s="148" t="s">
        <v>114</v>
      </c>
      <c r="AD3" s="148" t="s">
        <v>115</v>
      </c>
    </row>
    <row r="4" spans="1:30" s="141" customFormat="1" ht="15.75" customHeight="1">
      <c r="A4" s="152"/>
      <c r="B4" s="149"/>
      <c r="C4" s="149" t="s">
        <v>116</v>
      </c>
      <c r="D4" s="149" t="s">
        <v>117</v>
      </c>
      <c r="E4" s="149" t="s">
        <v>118</v>
      </c>
      <c r="F4" s="153" t="s">
        <v>119</v>
      </c>
      <c r="G4" s="154"/>
      <c r="H4" s="154"/>
      <c r="I4" s="151" t="s">
        <v>120</v>
      </c>
      <c r="J4" s="151"/>
      <c r="K4" s="151" t="s">
        <v>121</v>
      </c>
      <c r="L4" s="151"/>
      <c r="M4" s="151" t="s">
        <v>122</v>
      </c>
      <c r="N4" s="151"/>
      <c r="O4" s="152"/>
      <c r="P4" s="178" t="s">
        <v>123</v>
      </c>
      <c r="Q4" s="148"/>
      <c r="R4" s="148"/>
      <c r="S4" s="148"/>
      <c r="T4" s="148"/>
      <c r="U4" s="151" t="s">
        <v>124</v>
      </c>
      <c r="V4" s="151"/>
      <c r="W4" s="148" t="s">
        <v>125</v>
      </c>
      <c r="X4" s="148" t="s">
        <v>126</v>
      </c>
      <c r="Y4" s="148" t="s">
        <v>126</v>
      </c>
      <c r="Z4" s="152" t="s">
        <v>127</v>
      </c>
      <c r="AA4" s="151" t="s">
        <v>128</v>
      </c>
      <c r="AB4" s="151"/>
      <c r="AC4" s="155" t="s">
        <v>129</v>
      </c>
      <c r="AD4" s="155" t="s">
        <v>130</v>
      </c>
    </row>
    <row r="5" spans="1:30" s="141" customFormat="1" ht="15.75" customHeight="1">
      <c r="A5" s="152"/>
      <c r="B5" s="149"/>
      <c r="C5" s="149"/>
      <c r="D5" s="149"/>
      <c r="E5" s="149"/>
      <c r="F5" s="153"/>
      <c r="G5" s="154"/>
      <c r="H5" s="154"/>
      <c r="I5" s="151"/>
      <c r="J5" s="151"/>
      <c r="K5" s="151"/>
      <c r="L5" s="151"/>
      <c r="M5" s="151"/>
      <c r="N5" s="151"/>
      <c r="O5" s="155" t="s">
        <v>131</v>
      </c>
      <c r="P5" s="172" t="s">
        <v>132</v>
      </c>
      <c r="Q5" s="152"/>
      <c r="R5" s="152" t="s">
        <v>133</v>
      </c>
      <c r="S5" s="152"/>
      <c r="T5" s="152"/>
      <c r="U5" s="151"/>
      <c r="V5" s="151"/>
      <c r="W5" s="152"/>
      <c r="X5" s="152"/>
      <c r="Y5" s="152"/>
      <c r="Z5" s="155" t="s">
        <v>134</v>
      </c>
      <c r="AA5" s="151"/>
      <c r="AB5" s="151"/>
      <c r="AC5" s="148" t="s">
        <v>135</v>
      </c>
      <c r="AD5" s="188" t="s">
        <v>136</v>
      </c>
    </row>
    <row r="6" spans="1:30" s="141" customFormat="1" ht="15">
      <c r="A6" s="155" t="s">
        <v>137</v>
      </c>
      <c r="B6" s="149"/>
      <c r="C6" s="149"/>
      <c r="D6" s="149"/>
      <c r="E6" s="149"/>
      <c r="F6" s="150" t="s">
        <v>120</v>
      </c>
      <c r="G6" s="151" t="s">
        <v>121</v>
      </c>
      <c r="H6" s="151" t="s">
        <v>122</v>
      </c>
      <c r="I6" s="151" t="s">
        <v>138</v>
      </c>
      <c r="J6" s="151" t="s">
        <v>139</v>
      </c>
      <c r="K6" s="151" t="s">
        <v>138</v>
      </c>
      <c r="L6" s="151" t="s">
        <v>139</v>
      </c>
      <c r="M6" s="151" t="s">
        <v>138</v>
      </c>
      <c r="N6" s="151" t="s">
        <v>139</v>
      </c>
      <c r="O6" s="151" t="s">
        <v>128</v>
      </c>
      <c r="P6" s="151" t="s">
        <v>128</v>
      </c>
      <c r="Q6" s="187" t="s">
        <v>140</v>
      </c>
      <c r="R6" s="155" t="s">
        <v>141</v>
      </c>
      <c r="S6" s="155" t="s">
        <v>142</v>
      </c>
      <c r="T6" s="155" t="s">
        <v>122</v>
      </c>
      <c r="U6" s="151" t="s">
        <v>138</v>
      </c>
      <c r="V6" s="151" t="s">
        <v>139</v>
      </c>
      <c r="W6" s="155"/>
      <c r="X6" s="155" t="s">
        <v>143</v>
      </c>
      <c r="Y6" s="155" t="s">
        <v>144</v>
      </c>
      <c r="Z6" s="151" t="s">
        <v>145</v>
      </c>
      <c r="AA6" s="154" t="s">
        <v>146</v>
      </c>
      <c r="AB6" s="154" t="s">
        <v>147</v>
      </c>
      <c r="AC6" s="155" t="s">
        <v>148</v>
      </c>
      <c r="AD6" s="187"/>
    </row>
    <row r="7" spans="1:30" ht="21.75" customHeight="1">
      <c r="A7" s="135">
        <v>1</v>
      </c>
      <c r="B7" s="177" t="s">
        <v>928</v>
      </c>
      <c r="C7" s="203"/>
      <c r="D7" s="203" t="s">
        <v>150</v>
      </c>
      <c r="E7" s="203"/>
      <c r="F7" s="203">
        <v>3.05</v>
      </c>
      <c r="G7" s="203">
        <v>2.41</v>
      </c>
      <c r="H7" s="204">
        <f>SUM(F7:G7)</f>
        <v>5.46</v>
      </c>
      <c r="I7" s="220">
        <v>1885</v>
      </c>
      <c r="J7" s="220">
        <v>10</v>
      </c>
      <c r="K7" s="220">
        <v>775</v>
      </c>
      <c r="L7" s="220">
        <v>10</v>
      </c>
      <c r="M7" s="220">
        <f aca="true" t="shared" si="0" ref="M7:N23">I7+K7</f>
        <v>2660</v>
      </c>
      <c r="N7" s="220">
        <f t="shared" si="0"/>
        <v>20</v>
      </c>
      <c r="O7" s="220">
        <f>N7*3+3*8</f>
        <v>84</v>
      </c>
      <c r="P7" s="220">
        <f>48</f>
        <v>48</v>
      </c>
      <c r="Q7" s="220"/>
      <c r="R7" s="220">
        <v>1</v>
      </c>
      <c r="S7" s="220"/>
      <c r="T7" s="220">
        <f>S7+R7+Q7</f>
        <v>1</v>
      </c>
      <c r="U7" s="203"/>
      <c r="V7" s="203"/>
      <c r="W7" s="135">
        <v>3520</v>
      </c>
      <c r="X7" s="135">
        <v>60</v>
      </c>
      <c r="Y7" s="135">
        <v>3</v>
      </c>
      <c r="Z7" s="135">
        <v>4</v>
      </c>
      <c r="AA7" s="135">
        <v>9</v>
      </c>
      <c r="AB7" s="135"/>
      <c r="AC7" s="135">
        <v>410.3988</v>
      </c>
      <c r="AD7" s="233">
        <v>0.0408</v>
      </c>
    </row>
    <row r="8" spans="1:30" ht="21.75" customHeight="1">
      <c r="A8" s="135">
        <v>2</v>
      </c>
      <c r="B8" s="177" t="s">
        <v>929</v>
      </c>
      <c r="C8" s="203"/>
      <c r="D8" s="203" t="s">
        <v>150</v>
      </c>
      <c r="E8" s="203"/>
      <c r="F8" s="203">
        <v>64.1</v>
      </c>
      <c r="G8" s="203">
        <v>3.37</v>
      </c>
      <c r="H8" s="204">
        <f aca="true" t="shared" si="1" ref="H8:H36">SUM(F8:G8)</f>
        <v>67.47</v>
      </c>
      <c r="I8" s="220">
        <v>2008</v>
      </c>
      <c r="J8" s="220">
        <v>24</v>
      </c>
      <c r="K8" s="220">
        <v>2298</v>
      </c>
      <c r="L8" s="220">
        <v>28</v>
      </c>
      <c r="M8" s="220">
        <f t="shared" si="0"/>
        <v>4306</v>
      </c>
      <c r="N8" s="220">
        <f t="shared" si="0"/>
        <v>52</v>
      </c>
      <c r="O8" s="220">
        <f>N8*3+3*5</f>
        <v>171</v>
      </c>
      <c r="P8" s="220">
        <f>N8*3+6</f>
        <v>162</v>
      </c>
      <c r="Q8" s="220"/>
      <c r="R8" s="220">
        <v>2</v>
      </c>
      <c r="S8" s="220"/>
      <c r="T8" s="220">
        <f aca="true" t="shared" si="2" ref="T8:T36">S8+R8+Q8</f>
        <v>2</v>
      </c>
      <c r="U8" s="203"/>
      <c r="V8" s="203"/>
      <c r="W8" s="135">
        <v>2058</v>
      </c>
      <c r="X8" s="135">
        <v>34</v>
      </c>
      <c r="Y8" s="135">
        <v>7</v>
      </c>
      <c r="Z8" s="135">
        <v>7</v>
      </c>
      <c r="AA8" s="135">
        <v>21</v>
      </c>
      <c r="AB8" s="135"/>
      <c r="AC8" s="135">
        <v>481.3625</v>
      </c>
      <c r="AD8" s="233">
        <v>0.0574</v>
      </c>
    </row>
    <row r="9" spans="1:30" ht="21.75" customHeight="1">
      <c r="A9" s="135">
        <v>3</v>
      </c>
      <c r="B9" s="177" t="s">
        <v>930</v>
      </c>
      <c r="C9" s="203"/>
      <c r="D9" s="203" t="s">
        <v>150</v>
      </c>
      <c r="E9" s="203"/>
      <c r="F9" s="203">
        <v>79.68</v>
      </c>
      <c r="G9" s="203">
        <v>14.76</v>
      </c>
      <c r="H9" s="204">
        <f t="shared" si="1"/>
        <v>94.44000000000001</v>
      </c>
      <c r="I9" s="220">
        <v>1768</v>
      </c>
      <c r="J9" s="220">
        <v>22</v>
      </c>
      <c r="K9" s="220">
        <v>290</v>
      </c>
      <c r="L9" s="220">
        <v>7</v>
      </c>
      <c r="M9" s="220">
        <f t="shared" si="0"/>
        <v>2058</v>
      </c>
      <c r="N9" s="220">
        <f t="shared" si="0"/>
        <v>29</v>
      </c>
      <c r="O9" s="220">
        <f>N9*3+3*7</f>
        <v>108</v>
      </c>
      <c r="P9" s="220">
        <f>N9*3+6</f>
        <v>93</v>
      </c>
      <c r="Q9" s="220"/>
      <c r="R9" s="220">
        <v>2</v>
      </c>
      <c r="S9" s="220"/>
      <c r="T9" s="220">
        <f t="shared" si="2"/>
        <v>2</v>
      </c>
      <c r="U9" s="203"/>
      <c r="V9" s="203"/>
      <c r="W9" s="135">
        <v>3015</v>
      </c>
      <c r="X9" s="135">
        <v>43</v>
      </c>
      <c r="Y9" s="135">
        <v>3</v>
      </c>
      <c r="Z9" s="135">
        <v>13</v>
      </c>
      <c r="AA9" s="135">
        <v>18</v>
      </c>
      <c r="AB9" s="135"/>
      <c r="AC9" s="135">
        <v>421.4567</v>
      </c>
      <c r="AD9" s="233">
        <v>0.0415</v>
      </c>
    </row>
    <row r="10" spans="1:30" ht="21.75" customHeight="1">
      <c r="A10" s="135">
        <v>4</v>
      </c>
      <c r="B10" s="177" t="s">
        <v>931</v>
      </c>
      <c r="C10" s="203"/>
      <c r="D10" s="203" t="s">
        <v>150</v>
      </c>
      <c r="E10" s="203"/>
      <c r="F10" s="203">
        <v>90.3</v>
      </c>
      <c r="G10" s="203">
        <v>3.55</v>
      </c>
      <c r="H10" s="204">
        <f t="shared" si="1"/>
        <v>93.85</v>
      </c>
      <c r="I10" s="220">
        <v>4299</v>
      </c>
      <c r="J10" s="220">
        <v>52</v>
      </c>
      <c r="K10" s="220">
        <f>4823+50+80+315+250+200+250+30+30+315+315+315+500+200+630+80+80</f>
        <v>8463</v>
      </c>
      <c r="L10" s="220">
        <f>38+16</f>
        <v>54</v>
      </c>
      <c r="M10" s="220">
        <f t="shared" si="0"/>
        <v>12762</v>
      </c>
      <c r="N10" s="220">
        <f t="shared" si="0"/>
        <v>106</v>
      </c>
      <c r="O10" s="220">
        <f>270+3*5</f>
        <v>285</v>
      </c>
      <c r="P10" s="220">
        <f>N10*3+9</f>
        <v>327</v>
      </c>
      <c r="Q10" s="220"/>
      <c r="R10" s="220">
        <v>3</v>
      </c>
      <c r="S10" s="220"/>
      <c r="T10" s="220">
        <f t="shared" si="2"/>
        <v>3</v>
      </c>
      <c r="U10" s="203"/>
      <c r="V10" s="203"/>
      <c r="W10" s="135">
        <v>4731</v>
      </c>
      <c r="X10" s="135">
        <v>81</v>
      </c>
      <c r="Y10" s="135">
        <v>1</v>
      </c>
      <c r="Z10" s="135">
        <v>20</v>
      </c>
      <c r="AA10" s="135">
        <v>97</v>
      </c>
      <c r="AB10" s="135">
        <v>5</v>
      </c>
      <c r="AC10" s="135">
        <v>901.3525</v>
      </c>
      <c r="AD10" s="233">
        <v>0.0448</v>
      </c>
    </row>
    <row r="11" spans="1:30" ht="21.75" customHeight="1">
      <c r="A11" s="135">
        <v>5</v>
      </c>
      <c r="B11" s="177" t="s">
        <v>932</v>
      </c>
      <c r="C11" s="203"/>
      <c r="D11" s="203" t="s">
        <v>150</v>
      </c>
      <c r="E11" s="203"/>
      <c r="F11" s="203">
        <v>135.26</v>
      </c>
      <c r="G11" s="203">
        <v>4.53</v>
      </c>
      <c r="H11" s="204">
        <f t="shared" si="1"/>
        <v>139.79</v>
      </c>
      <c r="I11" s="220">
        <v>2335</v>
      </c>
      <c r="J11" s="220">
        <v>51</v>
      </c>
      <c r="K11" s="220">
        <v>1375</v>
      </c>
      <c r="L11" s="220">
        <v>15</v>
      </c>
      <c r="M11" s="220">
        <f t="shared" si="0"/>
        <v>3710</v>
      </c>
      <c r="N11" s="220">
        <f t="shared" si="0"/>
        <v>66</v>
      </c>
      <c r="O11" s="220">
        <f>N11*3+3*6</f>
        <v>216</v>
      </c>
      <c r="P11" s="220">
        <f>198+12</f>
        <v>210</v>
      </c>
      <c r="Q11" s="220"/>
      <c r="R11" s="220">
        <v>3</v>
      </c>
      <c r="S11" s="220"/>
      <c r="T11" s="220">
        <f t="shared" si="2"/>
        <v>3</v>
      </c>
      <c r="U11" s="203">
        <v>100</v>
      </c>
      <c r="V11" s="203">
        <v>1</v>
      </c>
      <c r="W11" s="135">
        <v>4631</v>
      </c>
      <c r="X11" s="135">
        <v>65</v>
      </c>
      <c r="Y11" s="135"/>
      <c r="Z11" s="135"/>
      <c r="AA11" s="135"/>
      <c r="AB11" s="135">
        <v>60</v>
      </c>
      <c r="AC11" s="135">
        <v>655.2439</v>
      </c>
      <c r="AD11" s="233">
        <v>0.0413</v>
      </c>
    </row>
    <row r="12" spans="1:30" ht="21.75" customHeight="1">
      <c r="A12" s="135">
        <v>6</v>
      </c>
      <c r="B12" s="177" t="s">
        <v>933</v>
      </c>
      <c r="C12" s="203"/>
      <c r="D12" s="203" t="s">
        <v>150</v>
      </c>
      <c r="E12" s="203"/>
      <c r="F12" s="203">
        <v>8</v>
      </c>
      <c r="G12" s="203">
        <v>0.97</v>
      </c>
      <c r="H12" s="204">
        <f t="shared" si="1"/>
        <v>8.97</v>
      </c>
      <c r="I12" s="220">
        <v>590</v>
      </c>
      <c r="J12" s="220">
        <v>7</v>
      </c>
      <c r="K12" s="220">
        <v>420</v>
      </c>
      <c r="L12" s="220">
        <v>12</v>
      </c>
      <c r="M12" s="220">
        <f t="shared" si="0"/>
        <v>1010</v>
      </c>
      <c r="N12" s="220">
        <f t="shared" si="0"/>
        <v>19</v>
      </c>
      <c r="O12" s="220">
        <f>N12*3+3*4</f>
        <v>69</v>
      </c>
      <c r="P12" s="220">
        <f>N12*3</f>
        <v>57</v>
      </c>
      <c r="Q12" s="220"/>
      <c r="R12" s="220"/>
      <c r="S12" s="220"/>
      <c r="T12" s="220"/>
      <c r="U12" s="203"/>
      <c r="V12" s="203"/>
      <c r="W12" s="135">
        <v>500</v>
      </c>
      <c r="X12" s="135">
        <v>18</v>
      </c>
      <c r="Y12" s="135"/>
      <c r="Z12" s="135"/>
      <c r="AA12" s="135"/>
      <c r="AB12" s="135">
        <v>12</v>
      </c>
      <c r="AC12" s="135">
        <v>151.3907</v>
      </c>
      <c r="AD12" s="233">
        <v>0.0364</v>
      </c>
    </row>
    <row r="13" spans="1:30" ht="21.75" customHeight="1">
      <c r="A13" s="135">
        <v>7</v>
      </c>
      <c r="B13" s="177" t="s">
        <v>934</v>
      </c>
      <c r="C13" s="203"/>
      <c r="D13" s="203" t="s">
        <v>150</v>
      </c>
      <c r="E13" s="203"/>
      <c r="F13" s="203">
        <v>13.23</v>
      </c>
      <c r="G13" s="203">
        <v>1.27</v>
      </c>
      <c r="H13" s="204">
        <f t="shared" si="1"/>
        <v>14.5</v>
      </c>
      <c r="I13" s="220">
        <v>895</v>
      </c>
      <c r="J13" s="220">
        <v>20</v>
      </c>
      <c r="K13" s="220">
        <v>643</v>
      </c>
      <c r="L13" s="220">
        <v>7</v>
      </c>
      <c r="M13" s="220">
        <f t="shared" si="0"/>
        <v>1538</v>
      </c>
      <c r="N13" s="220">
        <f t="shared" si="0"/>
        <v>27</v>
      </c>
      <c r="O13" s="220">
        <f>N13*3+3*5</f>
        <v>96</v>
      </c>
      <c r="P13" s="220">
        <f>N13*3+3</f>
        <v>84</v>
      </c>
      <c r="Q13" s="220"/>
      <c r="R13" s="220">
        <v>1</v>
      </c>
      <c r="S13" s="220"/>
      <c r="T13" s="220">
        <f t="shared" si="2"/>
        <v>1</v>
      </c>
      <c r="U13" s="203"/>
      <c r="V13" s="203"/>
      <c r="W13" s="135">
        <v>1423</v>
      </c>
      <c r="X13" s="135">
        <v>13</v>
      </c>
      <c r="Y13" s="135"/>
      <c r="Z13" s="135"/>
      <c r="AA13" s="135"/>
      <c r="AB13" s="135">
        <v>6</v>
      </c>
      <c r="AC13" s="135">
        <v>213.0606</v>
      </c>
      <c r="AD13" s="233">
        <v>0.0316</v>
      </c>
    </row>
    <row r="14" spans="1:30" ht="21.75" customHeight="1">
      <c r="A14" s="135">
        <v>8</v>
      </c>
      <c r="B14" s="177" t="s">
        <v>935</v>
      </c>
      <c r="C14" s="203"/>
      <c r="D14" s="203" t="s">
        <v>150</v>
      </c>
      <c r="E14" s="203"/>
      <c r="F14" s="203">
        <v>28.8</v>
      </c>
      <c r="G14" s="203">
        <v>12.4</v>
      </c>
      <c r="H14" s="204">
        <f t="shared" si="1"/>
        <v>41.2</v>
      </c>
      <c r="I14" s="220">
        <v>850</v>
      </c>
      <c r="J14" s="220">
        <v>10</v>
      </c>
      <c r="K14" s="220">
        <v>2823</v>
      </c>
      <c r="L14" s="220">
        <v>16</v>
      </c>
      <c r="M14" s="220">
        <f t="shared" si="0"/>
        <v>3673</v>
      </c>
      <c r="N14" s="220">
        <f t="shared" si="0"/>
        <v>26</v>
      </c>
      <c r="O14" s="220">
        <f>27*3+3*4</f>
        <v>93</v>
      </c>
      <c r="P14" s="220">
        <f>N14*3+9</f>
        <v>87</v>
      </c>
      <c r="Q14" s="220"/>
      <c r="R14" s="220">
        <v>3</v>
      </c>
      <c r="S14" s="220"/>
      <c r="T14" s="220">
        <f t="shared" si="2"/>
        <v>3</v>
      </c>
      <c r="U14" s="203"/>
      <c r="V14" s="203"/>
      <c r="W14" s="135">
        <v>2458</v>
      </c>
      <c r="X14" s="135">
        <v>87</v>
      </c>
      <c r="Y14" s="135">
        <v>8</v>
      </c>
      <c r="Z14" s="135">
        <v>61</v>
      </c>
      <c r="AA14" s="135">
        <v>183</v>
      </c>
      <c r="AB14" s="135">
        <v>1</v>
      </c>
      <c r="AC14" s="135">
        <v>661.1436</v>
      </c>
      <c r="AD14" s="233">
        <v>0.0383</v>
      </c>
    </row>
    <row r="15" spans="1:30" ht="21.75" customHeight="1">
      <c r="A15" s="135">
        <v>9</v>
      </c>
      <c r="B15" s="177" t="s">
        <v>936</v>
      </c>
      <c r="C15" s="203"/>
      <c r="D15" s="203" t="s">
        <v>150</v>
      </c>
      <c r="E15" s="203"/>
      <c r="F15" s="203">
        <v>104.2</v>
      </c>
      <c r="G15" s="203">
        <v>7.5</v>
      </c>
      <c r="H15" s="204">
        <f t="shared" si="1"/>
        <v>111.7</v>
      </c>
      <c r="I15" s="220">
        <v>2490</v>
      </c>
      <c r="J15" s="220">
        <v>42</v>
      </c>
      <c r="K15" s="220">
        <v>960</v>
      </c>
      <c r="L15" s="220">
        <v>10</v>
      </c>
      <c r="M15" s="220">
        <f t="shared" si="0"/>
        <v>3450</v>
      </c>
      <c r="N15" s="220">
        <f t="shared" si="0"/>
        <v>52</v>
      </c>
      <c r="O15" s="220">
        <f>N15*3+3*6</f>
        <v>174</v>
      </c>
      <c r="P15" s="220">
        <f>N15*3+12</f>
        <v>168</v>
      </c>
      <c r="Q15" s="220"/>
      <c r="R15" s="220">
        <v>4</v>
      </c>
      <c r="S15" s="220"/>
      <c r="T15" s="220">
        <f t="shared" si="2"/>
        <v>4</v>
      </c>
      <c r="U15" s="203">
        <v>100</v>
      </c>
      <c r="V15" s="203">
        <v>1</v>
      </c>
      <c r="W15" s="135">
        <v>3010</v>
      </c>
      <c r="X15" s="135">
        <v>80</v>
      </c>
      <c r="Y15" s="135">
        <v>461</v>
      </c>
      <c r="Z15" s="135">
        <v>92</v>
      </c>
      <c r="AA15" s="135">
        <v>39</v>
      </c>
      <c r="AB15" s="135"/>
      <c r="AC15" s="135">
        <v>485.3198</v>
      </c>
      <c r="AD15" s="233">
        <v>0.0375</v>
      </c>
    </row>
    <row r="16" spans="1:30" ht="21.75" customHeight="1">
      <c r="A16" s="135">
        <v>10</v>
      </c>
      <c r="B16" s="177" t="s">
        <v>937</v>
      </c>
      <c r="C16" s="205"/>
      <c r="D16" s="205" t="s">
        <v>150</v>
      </c>
      <c r="E16" s="205"/>
      <c r="F16" s="205">
        <v>8.18</v>
      </c>
      <c r="G16" s="205">
        <v>2.5</v>
      </c>
      <c r="H16" s="204">
        <f t="shared" si="1"/>
        <v>10.68</v>
      </c>
      <c r="I16" s="221">
        <v>250</v>
      </c>
      <c r="J16" s="221">
        <v>4</v>
      </c>
      <c r="K16" s="221">
        <v>70</v>
      </c>
      <c r="L16" s="221">
        <v>3</v>
      </c>
      <c r="M16" s="220">
        <f t="shared" si="0"/>
        <v>320</v>
      </c>
      <c r="N16" s="220">
        <f t="shared" si="0"/>
        <v>7</v>
      </c>
      <c r="O16" s="220">
        <v>27</v>
      </c>
      <c r="P16" s="221">
        <f>N16*3</f>
        <v>21</v>
      </c>
      <c r="Q16" s="221"/>
      <c r="R16" s="221"/>
      <c r="S16" s="221"/>
      <c r="T16" s="220"/>
      <c r="U16" s="205"/>
      <c r="V16" s="205"/>
      <c r="W16" s="136">
        <v>98</v>
      </c>
      <c r="X16" s="136">
        <v>9</v>
      </c>
      <c r="Y16" s="136">
        <v>1</v>
      </c>
      <c r="Z16" s="136"/>
      <c r="AA16" s="136">
        <v>3</v>
      </c>
      <c r="AB16" s="136"/>
      <c r="AC16" s="136">
        <v>11.6632</v>
      </c>
      <c r="AD16" s="234">
        <v>0.0702</v>
      </c>
    </row>
    <row r="17" spans="1:30" ht="21.75" customHeight="1">
      <c r="A17" s="135">
        <v>11</v>
      </c>
      <c r="B17" s="177" t="s">
        <v>938</v>
      </c>
      <c r="C17" s="205" t="s">
        <v>150</v>
      </c>
      <c r="D17" s="205"/>
      <c r="E17" s="205"/>
      <c r="F17" s="205">
        <v>9.6</v>
      </c>
      <c r="G17" s="205"/>
      <c r="H17" s="204">
        <f t="shared" si="1"/>
        <v>9.6</v>
      </c>
      <c r="I17" s="221">
        <v>7950</v>
      </c>
      <c r="J17" s="221">
        <v>32</v>
      </c>
      <c r="K17" s="221">
        <v>3675</v>
      </c>
      <c r="L17" s="221">
        <v>20</v>
      </c>
      <c r="M17" s="220">
        <f t="shared" si="0"/>
        <v>11625</v>
      </c>
      <c r="N17" s="220">
        <f t="shared" si="0"/>
        <v>52</v>
      </c>
      <c r="O17" s="220">
        <f>N17*3+3*5</f>
        <v>171</v>
      </c>
      <c r="P17" s="221">
        <f>N17*3+18</f>
        <v>174</v>
      </c>
      <c r="Q17" s="221"/>
      <c r="R17" s="221">
        <v>6</v>
      </c>
      <c r="S17" s="221"/>
      <c r="T17" s="220">
        <f t="shared" si="2"/>
        <v>6</v>
      </c>
      <c r="U17" s="205"/>
      <c r="V17" s="205"/>
      <c r="W17" s="136">
        <v>5424</v>
      </c>
      <c r="X17" s="136">
        <v>512</v>
      </c>
      <c r="Y17" s="136">
        <v>20</v>
      </c>
      <c r="Z17" s="136">
        <v>3</v>
      </c>
      <c r="AA17" s="136">
        <v>105</v>
      </c>
      <c r="AB17" s="136">
        <v>21</v>
      </c>
      <c r="AC17" s="136">
        <v>1487.4291</v>
      </c>
      <c r="AD17" s="234">
        <v>0.0481</v>
      </c>
    </row>
    <row r="18" spans="1:30" ht="21.75" customHeight="1">
      <c r="A18" s="135">
        <v>12</v>
      </c>
      <c r="B18" s="177" t="s">
        <v>939</v>
      </c>
      <c r="C18" s="205" t="s">
        <v>150</v>
      </c>
      <c r="D18" s="205"/>
      <c r="E18" s="205"/>
      <c r="F18" s="205">
        <v>3.7</v>
      </c>
      <c r="G18" s="205"/>
      <c r="H18" s="204">
        <f t="shared" si="1"/>
        <v>3.7</v>
      </c>
      <c r="I18" s="221">
        <v>8060</v>
      </c>
      <c r="J18" s="221">
        <v>32</v>
      </c>
      <c r="K18" s="221">
        <v>5030</v>
      </c>
      <c r="L18" s="221">
        <v>25</v>
      </c>
      <c r="M18" s="220">
        <f t="shared" si="0"/>
        <v>13090</v>
      </c>
      <c r="N18" s="220">
        <f t="shared" si="0"/>
        <v>57</v>
      </c>
      <c r="O18" s="220">
        <f>N18*3+3*4</f>
        <v>183</v>
      </c>
      <c r="P18" s="221">
        <f>N18*3+R18*6</f>
        <v>213</v>
      </c>
      <c r="Q18" s="221"/>
      <c r="R18" s="221">
        <v>7</v>
      </c>
      <c r="S18" s="221"/>
      <c r="T18" s="220">
        <f t="shared" si="2"/>
        <v>7</v>
      </c>
      <c r="U18" s="205"/>
      <c r="V18" s="205"/>
      <c r="W18" s="136">
        <v>5013</v>
      </c>
      <c r="X18" s="136">
        <v>396</v>
      </c>
      <c r="Y18" s="136">
        <v>8</v>
      </c>
      <c r="Z18" s="136">
        <v>1</v>
      </c>
      <c r="AA18" s="136">
        <v>141</v>
      </c>
      <c r="AB18" s="136">
        <v>24</v>
      </c>
      <c r="AC18" s="136">
        <v>2409.2686</v>
      </c>
      <c r="AD18" s="234">
        <v>0.051</v>
      </c>
    </row>
    <row r="19" spans="1:30" ht="21.75" customHeight="1">
      <c r="A19" s="135">
        <v>13</v>
      </c>
      <c r="B19" s="177" t="s">
        <v>940</v>
      </c>
      <c r="C19" s="205" t="s">
        <v>150</v>
      </c>
      <c r="D19" s="205"/>
      <c r="E19" s="205"/>
      <c r="F19" s="205">
        <v>7.1</v>
      </c>
      <c r="G19" s="205"/>
      <c r="H19" s="204">
        <f t="shared" si="1"/>
        <v>7.1</v>
      </c>
      <c r="I19" s="221">
        <v>200</v>
      </c>
      <c r="J19" s="221">
        <v>1</v>
      </c>
      <c r="K19" s="221">
        <f>315*3</f>
        <v>945</v>
      </c>
      <c r="L19" s="221">
        <v>7</v>
      </c>
      <c r="M19" s="220">
        <f t="shared" si="0"/>
        <v>1145</v>
      </c>
      <c r="N19" s="220">
        <f t="shared" si="0"/>
        <v>8</v>
      </c>
      <c r="O19" s="220">
        <f>N19*3</f>
        <v>24</v>
      </c>
      <c r="P19" s="221">
        <f>N19*3+2*3</f>
        <v>30</v>
      </c>
      <c r="Q19" s="221"/>
      <c r="R19" s="221">
        <v>2</v>
      </c>
      <c r="S19" s="221"/>
      <c r="T19" s="220">
        <f t="shared" si="2"/>
        <v>2</v>
      </c>
      <c r="U19" s="205"/>
      <c r="V19" s="205"/>
      <c r="W19" s="136">
        <v>4011</v>
      </c>
      <c r="X19" s="136">
        <v>166</v>
      </c>
      <c r="Y19" s="136">
        <v>4</v>
      </c>
      <c r="Z19" s="136"/>
      <c r="AA19" s="136">
        <v>24</v>
      </c>
      <c r="AB19" s="136">
        <v>12</v>
      </c>
      <c r="AC19" s="136">
        <v>376.3525</v>
      </c>
      <c r="AD19" s="234">
        <v>0.0584</v>
      </c>
    </row>
    <row r="20" spans="1:30" ht="21.75" customHeight="1">
      <c r="A20" s="135">
        <v>14</v>
      </c>
      <c r="B20" s="177" t="s">
        <v>941</v>
      </c>
      <c r="C20" s="205"/>
      <c r="D20" s="205" t="s">
        <v>150</v>
      </c>
      <c r="E20" s="205"/>
      <c r="F20" s="205">
        <v>63.75</v>
      </c>
      <c r="G20" s="205">
        <v>1.62</v>
      </c>
      <c r="H20" s="204">
        <f t="shared" si="1"/>
        <v>65.37</v>
      </c>
      <c r="I20" s="221">
        <v>2270</v>
      </c>
      <c r="J20" s="221">
        <v>49</v>
      </c>
      <c r="K20" s="221">
        <v>890</v>
      </c>
      <c r="L20" s="221">
        <v>14</v>
      </c>
      <c r="M20" s="220">
        <f t="shared" si="0"/>
        <v>3160</v>
      </c>
      <c r="N20" s="220">
        <f t="shared" si="0"/>
        <v>63</v>
      </c>
      <c r="O20" s="220">
        <f>N20*3+9</f>
        <v>198</v>
      </c>
      <c r="P20" s="221">
        <f>N20*3+R20*3</f>
        <v>201</v>
      </c>
      <c r="Q20" s="221"/>
      <c r="R20" s="221">
        <v>4</v>
      </c>
      <c r="S20" s="221"/>
      <c r="T20" s="220">
        <f t="shared" si="2"/>
        <v>4</v>
      </c>
      <c r="U20" s="205"/>
      <c r="V20" s="205"/>
      <c r="W20" s="136"/>
      <c r="X20" s="136">
        <v>49</v>
      </c>
      <c r="Y20" s="136">
        <v>2</v>
      </c>
      <c r="Z20" s="136">
        <v>49</v>
      </c>
      <c r="AA20" s="136">
        <v>21</v>
      </c>
      <c r="AB20" s="136">
        <v>0</v>
      </c>
      <c r="AC20" s="136">
        <v>442.977</v>
      </c>
      <c r="AD20" s="234">
        <v>0.037</v>
      </c>
    </row>
    <row r="21" spans="1:30" ht="21.75" customHeight="1">
      <c r="A21" s="135">
        <v>15</v>
      </c>
      <c r="B21" s="177" t="s">
        <v>942</v>
      </c>
      <c r="C21" s="205"/>
      <c r="D21" s="205" t="s">
        <v>150</v>
      </c>
      <c r="E21" s="205"/>
      <c r="F21" s="205">
        <v>53.63</v>
      </c>
      <c r="G21" s="205">
        <v>2.1</v>
      </c>
      <c r="H21" s="204">
        <f t="shared" si="1"/>
        <v>55.730000000000004</v>
      </c>
      <c r="I21" s="221">
        <f>1880+280</f>
        <v>2160</v>
      </c>
      <c r="J21" s="221">
        <f>34+8</f>
        <v>42</v>
      </c>
      <c r="K21" s="221">
        <v>1120</v>
      </c>
      <c r="L21" s="221">
        <v>5</v>
      </c>
      <c r="M21" s="220">
        <f t="shared" si="0"/>
        <v>3280</v>
      </c>
      <c r="N21" s="220">
        <f t="shared" si="0"/>
        <v>47</v>
      </c>
      <c r="O21" s="220">
        <f>N21*3+3*4</f>
        <v>153</v>
      </c>
      <c r="P21" s="221">
        <f>N21*3+6</f>
        <v>147</v>
      </c>
      <c r="Q21" s="221"/>
      <c r="R21" s="221">
        <v>2</v>
      </c>
      <c r="S21" s="221"/>
      <c r="T21" s="220">
        <f t="shared" si="2"/>
        <v>2</v>
      </c>
      <c r="U21" s="205"/>
      <c r="V21" s="205"/>
      <c r="W21" s="136"/>
      <c r="X21" s="136">
        <v>1</v>
      </c>
      <c r="Y21" s="136">
        <v>1</v>
      </c>
      <c r="Z21" s="136"/>
      <c r="AA21" s="136"/>
      <c r="AB21" s="136"/>
      <c r="AC21" s="136">
        <v>377.0357</v>
      </c>
      <c r="AD21" s="234">
        <v>0.0443</v>
      </c>
    </row>
    <row r="22" spans="1:30" ht="21.75" customHeight="1">
      <c r="A22" s="135">
        <v>16</v>
      </c>
      <c r="B22" s="177" t="s">
        <v>943</v>
      </c>
      <c r="C22" s="205"/>
      <c r="D22" s="205" t="s">
        <v>150</v>
      </c>
      <c r="E22" s="205"/>
      <c r="F22" s="205">
        <v>1</v>
      </c>
      <c r="G22" s="205"/>
      <c r="H22" s="204">
        <f t="shared" si="1"/>
        <v>1</v>
      </c>
      <c r="I22" s="221">
        <v>160</v>
      </c>
      <c r="J22" s="221">
        <v>1</v>
      </c>
      <c r="K22" s="221"/>
      <c r="L22" s="221"/>
      <c r="M22" s="220">
        <f t="shared" si="0"/>
        <v>160</v>
      </c>
      <c r="N22" s="220">
        <f t="shared" si="0"/>
        <v>1</v>
      </c>
      <c r="O22" s="220">
        <v>6</v>
      </c>
      <c r="P22" s="221">
        <v>3</v>
      </c>
      <c r="Q22" s="221"/>
      <c r="R22" s="221"/>
      <c r="S22" s="221"/>
      <c r="T22" s="220"/>
      <c r="U22" s="205"/>
      <c r="V22" s="205"/>
      <c r="W22" s="136"/>
      <c r="X22" s="136">
        <v>1</v>
      </c>
      <c r="Y22" s="136">
        <v>1</v>
      </c>
      <c r="Z22" s="136"/>
      <c r="AA22" s="136"/>
      <c r="AB22" s="136"/>
      <c r="AC22" s="136">
        <v>15.3786</v>
      </c>
      <c r="AD22" s="136">
        <v>7.09</v>
      </c>
    </row>
    <row r="23" spans="1:30" ht="21.75" customHeight="1">
      <c r="A23" s="135">
        <v>17</v>
      </c>
      <c r="B23" s="177" t="s">
        <v>944</v>
      </c>
      <c r="C23" s="205"/>
      <c r="D23" s="205"/>
      <c r="E23" s="205" t="s">
        <v>150</v>
      </c>
      <c r="F23" s="205">
        <v>4.9</v>
      </c>
      <c r="G23" s="205"/>
      <c r="H23" s="204">
        <f t="shared" si="1"/>
        <v>4.9</v>
      </c>
      <c r="I23" s="221"/>
      <c r="J23" s="221"/>
      <c r="K23" s="221">
        <v>2500</v>
      </c>
      <c r="L23" s="221">
        <v>4</v>
      </c>
      <c r="M23" s="220">
        <f t="shared" si="0"/>
        <v>2500</v>
      </c>
      <c r="N23" s="220">
        <f t="shared" si="0"/>
        <v>4</v>
      </c>
      <c r="O23" s="220">
        <v>6</v>
      </c>
      <c r="P23" s="221">
        <f>6*3+4*3</f>
        <v>30</v>
      </c>
      <c r="Q23" s="221"/>
      <c r="R23" s="221">
        <v>4</v>
      </c>
      <c r="S23" s="221"/>
      <c r="T23" s="220">
        <f t="shared" si="2"/>
        <v>4</v>
      </c>
      <c r="U23" s="205"/>
      <c r="V23" s="205"/>
      <c r="W23" s="136"/>
      <c r="X23" s="136">
        <v>1</v>
      </c>
      <c r="Y23" s="136">
        <v>1</v>
      </c>
      <c r="Z23" s="136">
        <v>1</v>
      </c>
      <c r="AA23" s="136">
        <v>3</v>
      </c>
      <c r="AB23" s="136"/>
      <c r="AC23" s="136">
        <v>618.252</v>
      </c>
      <c r="AD23" s="136">
        <v>0</v>
      </c>
    </row>
    <row r="24" spans="1:30" ht="21.75" customHeight="1">
      <c r="A24" s="135">
        <v>18</v>
      </c>
      <c r="B24" s="177" t="s">
        <v>945</v>
      </c>
      <c r="C24" s="205"/>
      <c r="D24" s="203"/>
      <c r="E24" s="203" t="s">
        <v>150</v>
      </c>
      <c r="F24" s="203"/>
      <c r="G24" s="203">
        <v>0.3</v>
      </c>
      <c r="H24" s="204">
        <f t="shared" si="1"/>
        <v>0.3</v>
      </c>
      <c r="I24" s="220"/>
      <c r="J24" s="220"/>
      <c r="K24" s="220">
        <v>315</v>
      </c>
      <c r="L24" s="220">
        <v>1</v>
      </c>
      <c r="M24" s="220">
        <v>315</v>
      </c>
      <c r="N24" s="220">
        <v>1</v>
      </c>
      <c r="O24" s="220">
        <v>3</v>
      </c>
      <c r="P24" s="220">
        <v>3</v>
      </c>
      <c r="Q24" s="220"/>
      <c r="R24" s="220"/>
      <c r="S24" s="220"/>
      <c r="T24" s="220">
        <f t="shared" si="2"/>
        <v>0</v>
      </c>
      <c r="U24" s="203"/>
      <c r="V24" s="203"/>
      <c r="W24" s="136"/>
      <c r="X24" s="136">
        <v>1</v>
      </c>
      <c r="Y24" s="136">
        <v>1</v>
      </c>
      <c r="Z24" s="136">
        <v>1</v>
      </c>
      <c r="AA24" s="136">
        <v>3</v>
      </c>
      <c r="AB24" s="136"/>
      <c r="AC24" s="136">
        <v>0</v>
      </c>
      <c r="AD24" s="136">
        <v>0</v>
      </c>
    </row>
    <row r="25" spans="1:30" ht="21.75" customHeight="1">
      <c r="A25" s="135">
        <v>19</v>
      </c>
      <c r="B25" s="177" t="s">
        <v>946</v>
      </c>
      <c r="C25" s="205"/>
      <c r="D25" s="205"/>
      <c r="E25" s="205" t="s">
        <v>150</v>
      </c>
      <c r="F25" s="205">
        <v>4.273</v>
      </c>
      <c r="G25" s="205"/>
      <c r="H25" s="204">
        <f t="shared" si="1"/>
        <v>4.273</v>
      </c>
      <c r="I25" s="221"/>
      <c r="J25" s="221"/>
      <c r="K25" s="221">
        <v>250</v>
      </c>
      <c r="L25" s="221">
        <v>1</v>
      </c>
      <c r="M25" s="220">
        <f aca="true" t="shared" si="3" ref="M25:N36">I25+K25</f>
        <v>250</v>
      </c>
      <c r="N25" s="220">
        <f t="shared" si="3"/>
        <v>1</v>
      </c>
      <c r="O25" s="220">
        <v>3</v>
      </c>
      <c r="P25" s="221">
        <v>3</v>
      </c>
      <c r="Q25" s="221"/>
      <c r="R25" s="221"/>
      <c r="S25" s="221"/>
      <c r="T25" s="220">
        <f t="shared" si="2"/>
        <v>0</v>
      </c>
      <c r="U25" s="205"/>
      <c r="V25" s="205"/>
      <c r="W25" s="136"/>
      <c r="X25" s="136"/>
      <c r="Y25" s="136"/>
      <c r="Z25" s="136">
        <v>1</v>
      </c>
      <c r="AA25" s="136">
        <v>3</v>
      </c>
      <c r="AB25" s="136"/>
      <c r="AC25" s="136">
        <v>17.391</v>
      </c>
      <c r="AD25" s="136">
        <v>0</v>
      </c>
    </row>
    <row r="26" spans="1:30" ht="21.75" customHeight="1">
      <c r="A26" s="135">
        <v>20</v>
      </c>
      <c r="B26" s="136" t="s">
        <v>947</v>
      </c>
      <c r="C26" s="203"/>
      <c r="D26" s="203"/>
      <c r="E26" s="203" t="s">
        <v>150</v>
      </c>
      <c r="F26" s="203">
        <v>6.816</v>
      </c>
      <c r="G26" s="203"/>
      <c r="H26" s="204">
        <f t="shared" si="1"/>
        <v>6.816</v>
      </c>
      <c r="I26" s="220"/>
      <c r="J26" s="220"/>
      <c r="K26" s="220">
        <v>360</v>
      </c>
      <c r="L26" s="220">
        <v>2</v>
      </c>
      <c r="M26" s="220">
        <f t="shared" si="3"/>
        <v>360</v>
      </c>
      <c r="N26" s="220">
        <f t="shared" si="3"/>
        <v>2</v>
      </c>
      <c r="O26" s="220">
        <v>18</v>
      </c>
      <c r="P26" s="220">
        <v>9</v>
      </c>
      <c r="Q26" s="220"/>
      <c r="R26" s="220">
        <v>1</v>
      </c>
      <c r="S26" s="220"/>
      <c r="T26" s="220">
        <f t="shared" si="2"/>
        <v>1</v>
      </c>
      <c r="U26" s="203"/>
      <c r="V26" s="203"/>
      <c r="W26" s="136"/>
      <c r="X26" s="136"/>
      <c r="Y26" s="136"/>
      <c r="Z26" s="136">
        <v>1</v>
      </c>
      <c r="AA26" s="136">
        <v>3</v>
      </c>
      <c r="AB26" s="136"/>
      <c r="AC26" s="136">
        <v>19.825</v>
      </c>
      <c r="AD26" s="136">
        <v>0</v>
      </c>
    </row>
    <row r="27" spans="1:30" ht="21.75" customHeight="1">
      <c r="A27" s="135">
        <v>21</v>
      </c>
      <c r="B27" s="136" t="s">
        <v>948</v>
      </c>
      <c r="C27" s="205"/>
      <c r="D27" s="205"/>
      <c r="E27" s="205" t="s">
        <v>150</v>
      </c>
      <c r="F27" s="205">
        <v>9.385</v>
      </c>
      <c r="G27" s="205"/>
      <c r="H27" s="204">
        <f t="shared" si="1"/>
        <v>9.385</v>
      </c>
      <c r="I27" s="221"/>
      <c r="J27" s="221"/>
      <c r="K27" s="221">
        <v>1875</v>
      </c>
      <c r="L27" s="221">
        <v>5</v>
      </c>
      <c r="M27" s="220">
        <f t="shared" si="3"/>
        <v>1875</v>
      </c>
      <c r="N27" s="220">
        <f t="shared" si="3"/>
        <v>5</v>
      </c>
      <c r="O27" s="220">
        <v>18</v>
      </c>
      <c r="P27" s="221">
        <v>9</v>
      </c>
      <c r="Q27" s="221"/>
      <c r="R27" s="221">
        <v>1</v>
      </c>
      <c r="S27" s="221"/>
      <c r="T27" s="220">
        <f t="shared" si="2"/>
        <v>1</v>
      </c>
      <c r="U27" s="205"/>
      <c r="V27" s="205"/>
      <c r="W27" s="136"/>
      <c r="X27" s="136"/>
      <c r="Y27" s="136"/>
      <c r="Z27" s="136">
        <v>1</v>
      </c>
      <c r="AA27" s="136">
        <v>3</v>
      </c>
      <c r="AB27" s="136"/>
      <c r="AC27" s="136">
        <v>35.128</v>
      </c>
      <c r="AD27" s="136">
        <v>0</v>
      </c>
    </row>
    <row r="28" spans="1:30" ht="21.75" customHeight="1">
      <c r="A28" s="135">
        <v>22</v>
      </c>
      <c r="B28" s="136" t="s">
        <v>949</v>
      </c>
      <c r="C28" s="205"/>
      <c r="D28" s="205"/>
      <c r="E28" s="205" t="s">
        <v>150</v>
      </c>
      <c r="F28" s="205">
        <v>6.439</v>
      </c>
      <c r="G28" s="205"/>
      <c r="H28" s="204">
        <f t="shared" si="1"/>
        <v>6.439</v>
      </c>
      <c r="I28" s="221"/>
      <c r="J28" s="221"/>
      <c r="K28" s="221">
        <v>2375</v>
      </c>
      <c r="L28" s="221">
        <v>6</v>
      </c>
      <c r="M28" s="220">
        <f t="shared" si="3"/>
        <v>2375</v>
      </c>
      <c r="N28" s="220">
        <f t="shared" si="3"/>
        <v>6</v>
      </c>
      <c r="O28" s="220">
        <v>15</v>
      </c>
      <c r="P28" s="221">
        <v>6</v>
      </c>
      <c r="Q28" s="221"/>
      <c r="R28" s="221">
        <v>1</v>
      </c>
      <c r="S28" s="221"/>
      <c r="T28" s="220">
        <f t="shared" si="2"/>
        <v>1</v>
      </c>
      <c r="U28" s="205"/>
      <c r="V28" s="205"/>
      <c r="W28" s="136"/>
      <c r="X28" s="136"/>
      <c r="Y28" s="136"/>
      <c r="Z28" s="136">
        <v>1</v>
      </c>
      <c r="AA28" s="136">
        <v>3</v>
      </c>
      <c r="AB28" s="136"/>
      <c r="AC28" s="136">
        <v>262.308</v>
      </c>
      <c r="AD28" s="136">
        <v>0</v>
      </c>
    </row>
    <row r="29" spans="1:30" ht="21.75" customHeight="1">
      <c r="A29" s="135">
        <v>23</v>
      </c>
      <c r="B29" s="136" t="s">
        <v>950</v>
      </c>
      <c r="C29" s="205"/>
      <c r="D29" s="205" t="s">
        <v>150</v>
      </c>
      <c r="E29" s="205"/>
      <c r="F29" s="205">
        <v>13</v>
      </c>
      <c r="G29" s="205"/>
      <c r="H29" s="204">
        <f t="shared" si="1"/>
        <v>13</v>
      </c>
      <c r="I29" s="221">
        <v>1853</v>
      </c>
      <c r="J29" s="221">
        <v>23</v>
      </c>
      <c r="K29" s="221">
        <v>3218</v>
      </c>
      <c r="L29" s="221">
        <v>17</v>
      </c>
      <c r="M29" s="220">
        <f t="shared" si="3"/>
        <v>5071</v>
      </c>
      <c r="N29" s="220">
        <f t="shared" si="3"/>
        <v>40</v>
      </c>
      <c r="O29" s="220">
        <f>120+6</f>
        <v>126</v>
      </c>
      <c r="P29" s="221">
        <v>120</v>
      </c>
      <c r="Q29" s="221"/>
      <c r="R29" s="221"/>
      <c r="S29" s="221"/>
      <c r="T29" s="220">
        <f t="shared" si="2"/>
        <v>0</v>
      </c>
      <c r="U29" s="205"/>
      <c r="V29" s="205"/>
      <c r="W29" s="136"/>
      <c r="X29" s="136"/>
      <c r="Y29" s="136"/>
      <c r="Z29" s="136"/>
      <c r="AA29" s="136"/>
      <c r="AB29" s="136"/>
      <c r="AC29" s="136"/>
      <c r="AD29" s="136"/>
    </row>
    <row r="30" spans="1:30" s="145" customFormat="1" ht="20.25" customHeight="1">
      <c r="A30" s="203">
        <v>24</v>
      </c>
      <c r="B30" s="206" t="s">
        <v>951</v>
      </c>
      <c r="C30" s="203"/>
      <c r="D30" s="203" t="s">
        <v>150</v>
      </c>
      <c r="E30" s="203"/>
      <c r="F30" s="203">
        <v>57.2</v>
      </c>
      <c r="G30" s="203">
        <v>3</v>
      </c>
      <c r="H30" s="204">
        <f t="shared" si="1"/>
        <v>60.2</v>
      </c>
      <c r="I30" s="220">
        <v>2353</v>
      </c>
      <c r="J30" s="220">
        <v>31</v>
      </c>
      <c r="K30" s="220">
        <f>1875+250+315+315+30+250+315</f>
        <v>3350</v>
      </c>
      <c r="L30" s="220">
        <f>14+6</f>
        <v>20</v>
      </c>
      <c r="M30" s="220">
        <f t="shared" si="3"/>
        <v>5703</v>
      </c>
      <c r="N30" s="220">
        <f t="shared" si="3"/>
        <v>51</v>
      </c>
      <c r="O30" s="220">
        <f>N30*3+3*4</f>
        <v>165</v>
      </c>
      <c r="P30" s="220">
        <f>45*3+9</f>
        <v>144</v>
      </c>
      <c r="Q30" s="220"/>
      <c r="R30" s="220">
        <v>3</v>
      </c>
      <c r="S30" s="220"/>
      <c r="T30" s="220">
        <f t="shared" si="2"/>
        <v>3</v>
      </c>
      <c r="U30" s="203"/>
      <c r="V30" s="203"/>
      <c r="W30" s="203"/>
      <c r="X30" s="203">
        <v>45</v>
      </c>
      <c r="Y30" s="203">
        <v>13</v>
      </c>
      <c r="Z30" s="220"/>
      <c r="AA30" s="220">
        <v>39</v>
      </c>
      <c r="AB30" s="220"/>
      <c r="AC30" s="203">
        <v>626.9715</v>
      </c>
      <c r="AD30" s="235">
        <v>0.0603</v>
      </c>
    </row>
    <row r="31" spans="1:30" s="145" customFormat="1" ht="20.25" customHeight="1">
      <c r="A31" s="203">
        <v>25</v>
      </c>
      <c r="B31" s="206" t="s">
        <v>952</v>
      </c>
      <c r="C31" s="205"/>
      <c r="D31" s="205" t="s">
        <v>150</v>
      </c>
      <c r="E31" s="205"/>
      <c r="F31" s="205">
        <v>2.8</v>
      </c>
      <c r="G31" s="205"/>
      <c r="H31" s="207">
        <f t="shared" si="1"/>
        <v>2.8</v>
      </c>
      <c r="I31" s="221">
        <v>50</v>
      </c>
      <c r="J31" s="221">
        <v>1</v>
      </c>
      <c r="K31" s="221"/>
      <c r="L31" s="221"/>
      <c r="M31" s="221">
        <f t="shared" si="3"/>
        <v>50</v>
      </c>
      <c r="N31" s="221">
        <f t="shared" si="3"/>
        <v>1</v>
      </c>
      <c r="O31" s="221">
        <v>3</v>
      </c>
      <c r="P31" s="221">
        <v>6</v>
      </c>
      <c r="Q31" s="221"/>
      <c r="R31" s="221">
        <v>1</v>
      </c>
      <c r="S31" s="221"/>
      <c r="T31" s="220">
        <f t="shared" si="2"/>
        <v>1</v>
      </c>
      <c r="U31" s="205"/>
      <c r="V31" s="205"/>
      <c r="W31" s="205"/>
      <c r="X31" s="205">
        <v>1</v>
      </c>
      <c r="Y31" s="205"/>
      <c r="Z31" s="221"/>
      <c r="AA31" s="221"/>
      <c r="AB31" s="221"/>
      <c r="AC31" s="205">
        <v>205.9717</v>
      </c>
      <c r="AD31" s="205">
        <v>4.46</v>
      </c>
    </row>
    <row r="32" spans="1:30" s="145" customFormat="1" ht="20.25" customHeight="1">
      <c r="A32" s="203">
        <v>26</v>
      </c>
      <c r="B32" s="206" t="s">
        <v>953</v>
      </c>
      <c r="C32" s="208" t="s">
        <v>150</v>
      </c>
      <c r="D32" s="208"/>
      <c r="E32" s="208"/>
      <c r="F32" s="208">
        <v>3.85</v>
      </c>
      <c r="G32" s="208"/>
      <c r="H32" s="207">
        <f t="shared" si="1"/>
        <v>3.85</v>
      </c>
      <c r="I32" s="222">
        <v>2953</v>
      </c>
      <c r="J32" s="222">
        <v>18</v>
      </c>
      <c r="K32" s="222">
        <v>660</v>
      </c>
      <c r="L32" s="222">
        <v>2</v>
      </c>
      <c r="M32" s="221">
        <f t="shared" si="3"/>
        <v>3613</v>
      </c>
      <c r="N32" s="221">
        <f t="shared" si="3"/>
        <v>20</v>
      </c>
      <c r="O32" s="222">
        <f>60+6</f>
        <v>66</v>
      </c>
      <c r="P32" s="222">
        <f>66+6</f>
        <v>72</v>
      </c>
      <c r="Q32" s="222"/>
      <c r="R32" s="222">
        <v>2</v>
      </c>
      <c r="S32" s="222"/>
      <c r="T32" s="220">
        <f t="shared" si="2"/>
        <v>2</v>
      </c>
      <c r="U32" s="208"/>
      <c r="V32" s="208"/>
      <c r="W32" s="208">
        <v>1852</v>
      </c>
      <c r="X32" s="208">
        <v>60</v>
      </c>
      <c r="Y32" s="208">
        <v>56</v>
      </c>
      <c r="Z32" s="222"/>
      <c r="AA32" s="222">
        <f>56*3</f>
        <v>168</v>
      </c>
      <c r="AB32" s="222"/>
      <c r="AC32" s="208">
        <v>922.3403</v>
      </c>
      <c r="AD32" s="208">
        <v>6.2</v>
      </c>
    </row>
    <row r="33" spans="1:30" s="145" customFormat="1" ht="20.25" customHeight="1">
      <c r="A33" s="203">
        <v>27</v>
      </c>
      <c r="B33" s="209" t="s">
        <v>954</v>
      </c>
      <c r="C33" s="210"/>
      <c r="D33" s="205" t="s">
        <v>150</v>
      </c>
      <c r="E33" s="210"/>
      <c r="F33" s="210">
        <v>120</v>
      </c>
      <c r="G33" s="210">
        <v>0</v>
      </c>
      <c r="H33" s="207">
        <f t="shared" si="1"/>
        <v>120</v>
      </c>
      <c r="I33" s="221">
        <v>1033</v>
      </c>
      <c r="J33" s="221">
        <v>29</v>
      </c>
      <c r="K33" s="221">
        <v>0</v>
      </c>
      <c r="L33" s="221">
        <v>0</v>
      </c>
      <c r="M33" s="221">
        <f t="shared" si="3"/>
        <v>1033</v>
      </c>
      <c r="N33" s="221">
        <f t="shared" si="3"/>
        <v>29</v>
      </c>
      <c r="O33" s="221">
        <f>29*3</f>
        <v>87</v>
      </c>
      <c r="P33" s="221">
        <f>29*3+12</f>
        <v>99</v>
      </c>
      <c r="Q33" s="224"/>
      <c r="R33" s="224">
        <v>4</v>
      </c>
      <c r="S33" s="224"/>
      <c r="T33" s="220">
        <f t="shared" si="2"/>
        <v>4</v>
      </c>
      <c r="U33" s="210"/>
      <c r="V33" s="210"/>
      <c r="W33" s="210"/>
      <c r="X33" s="210">
        <v>29</v>
      </c>
      <c r="Y33" s="210">
        <v>1</v>
      </c>
      <c r="Z33" s="224"/>
      <c r="AA33" s="224">
        <v>3</v>
      </c>
      <c r="AB33" s="224"/>
      <c r="AC33" s="210">
        <v>118.1127</v>
      </c>
      <c r="AD33" s="210">
        <v>3.59</v>
      </c>
    </row>
    <row r="34" spans="1:30" s="145" customFormat="1" ht="20.25" customHeight="1">
      <c r="A34" s="203">
        <v>28</v>
      </c>
      <c r="B34" s="209" t="s">
        <v>955</v>
      </c>
      <c r="C34" s="210"/>
      <c r="D34" s="210"/>
      <c r="E34" s="205" t="s">
        <v>150</v>
      </c>
      <c r="F34" s="210">
        <v>1.28</v>
      </c>
      <c r="G34" s="210"/>
      <c r="H34" s="207">
        <f t="shared" si="1"/>
        <v>1.28</v>
      </c>
      <c r="I34" s="221"/>
      <c r="J34" s="221"/>
      <c r="K34" s="221">
        <v>1875</v>
      </c>
      <c r="L34" s="221">
        <v>5</v>
      </c>
      <c r="M34" s="220">
        <f t="shared" si="3"/>
        <v>1875</v>
      </c>
      <c r="N34" s="220">
        <f t="shared" si="3"/>
        <v>5</v>
      </c>
      <c r="O34" s="221">
        <v>18</v>
      </c>
      <c r="P34" s="221">
        <v>18</v>
      </c>
      <c r="Q34" s="224"/>
      <c r="R34" s="224"/>
      <c r="S34" s="224"/>
      <c r="T34" s="220">
        <f t="shared" si="2"/>
        <v>0</v>
      </c>
      <c r="U34" s="210"/>
      <c r="V34" s="210"/>
      <c r="W34" s="210"/>
      <c r="X34" s="210"/>
      <c r="Y34" s="210"/>
      <c r="Z34" s="224"/>
      <c r="AA34" s="224"/>
      <c r="AB34" s="224"/>
      <c r="AC34" s="210"/>
      <c r="AD34" s="210">
        <v>0</v>
      </c>
    </row>
    <row r="35" spans="1:30" s="145" customFormat="1" ht="20.25" customHeight="1">
      <c r="A35" s="203">
        <v>29</v>
      </c>
      <c r="B35" s="209" t="s">
        <v>956</v>
      </c>
      <c r="C35" s="210"/>
      <c r="D35" s="210"/>
      <c r="E35" s="205" t="s">
        <v>150</v>
      </c>
      <c r="F35" s="210">
        <v>1.4</v>
      </c>
      <c r="G35" s="210"/>
      <c r="H35" s="207">
        <f t="shared" si="1"/>
        <v>1.4</v>
      </c>
      <c r="I35" s="221"/>
      <c r="J35" s="221"/>
      <c r="K35" s="221">
        <v>1875</v>
      </c>
      <c r="L35" s="221">
        <v>5</v>
      </c>
      <c r="M35" s="220">
        <f t="shared" si="3"/>
        <v>1875</v>
      </c>
      <c r="N35" s="220">
        <f t="shared" si="3"/>
        <v>5</v>
      </c>
      <c r="O35" s="221">
        <v>18</v>
      </c>
      <c r="P35" s="221">
        <v>18</v>
      </c>
      <c r="Q35" s="224"/>
      <c r="R35" s="224"/>
      <c r="S35" s="224"/>
      <c r="T35" s="220">
        <f t="shared" si="2"/>
        <v>0</v>
      </c>
      <c r="U35" s="210"/>
      <c r="V35" s="210"/>
      <c r="W35" s="210"/>
      <c r="X35" s="210"/>
      <c r="Y35" s="210"/>
      <c r="Z35" s="224"/>
      <c r="AA35" s="224"/>
      <c r="AB35" s="224"/>
      <c r="AC35" s="210"/>
      <c r="AD35" s="210">
        <v>0</v>
      </c>
    </row>
    <row r="36" spans="1:30" s="145" customFormat="1" ht="20.25" customHeight="1">
      <c r="A36" s="203">
        <v>30</v>
      </c>
      <c r="B36" s="209" t="s">
        <v>957</v>
      </c>
      <c r="C36" s="210"/>
      <c r="D36" s="210"/>
      <c r="E36" s="205" t="s">
        <v>150</v>
      </c>
      <c r="F36" s="210">
        <v>1.58</v>
      </c>
      <c r="G36" s="210"/>
      <c r="H36" s="207">
        <f t="shared" si="1"/>
        <v>1.58</v>
      </c>
      <c r="I36" s="221"/>
      <c r="J36" s="221"/>
      <c r="K36" s="221">
        <v>630</v>
      </c>
      <c r="L36" s="221">
        <v>2</v>
      </c>
      <c r="M36" s="220">
        <f t="shared" si="3"/>
        <v>630</v>
      </c>
      <c r="N36" s="220">
        <f t="shared" si="3"/>
        <v>2</v>
      </c>
      <c r="O36" s="221">
        <v>9</v>
      </c>
      <c r="P36" s="221">
        <v>9</v>
      </c>
      <c r="Q36" s="224"/>
      <c r="R36" s="224"/>
      <c r="S36" s="224"/>
      <c r="T36" s="220">
        <f t="shared" si="2"/>
        <v>0</v>
      </c>
      <c r="U36" s="210"/>
      <c r="V36" s="210"/>
      <c r="W36" s="210"/>
      <c r="X36" s="210"/>
      <c r="Y36" s="210"/>
      <c r="Z36" s="224"/>
      <c r="AA36" s="224"/>
      <c r="AB36" s="224"/>
      <c r="AC36" s="210"/>
      <c r="AD36" s="210">
        <v>0</v>
      </c>
    </row>
    <row r="37" spans="1:30" ht="21.75" customHeight="1">
      <c r="A37" s="211" t="s">
        <v>209</v>
      </c>
      <c r="B37" s="212"/>
      <c r="C37" s="205">
        <v>4</v>
      </c>
      <c r="D37" s="205">
        <v>17</v>
      </c>
      <c r="E37" s="205">
        <v>9</v>
      </c>
      <c r="F37" s="213">
        <f>SUM(F7:F36)</f>
        <v>906.503</v>
      </c>
      <c r="G37" s="213">
        <f aca="true" t="shared" si="4" ref="G37:W37">SUM(G7:G36)</f>
        <v>60.279999999999994</v>
      </c>
      <c r="H37" s="207">
        <f t="shared" si="4"/>
        <v>966.783</v>
      </c>
      <c r="I37" s="223">
        <f t="shared" si="4"/>
        <v>46412</v>
      </c>
      <c r="J37" s="224">
        <f t="shared" si="4"/>
        <v>501</v>
      </c>
      <c r="K37" s="224">
        <f t="shared" si="4"/>
        <v>49060</v>
      </c>
      <c r="L37" s="224">
        <f t="shared" si="4"/>
        <v>303</v>
      </c>
      <c r="M37" s="224">
        <f t="shared" si="4"/>
        <v>95472</v>
      </c>
      <c r="N37" s="224">
        <f t="shared" si="4"/>
        <v>804</v>
      </c>
      <c r="O37" s="224">
        <f t="shared" si="4"/>
        <v>2613</v>
      </c>
      <c r="P37" s="224">
        <f t="shared" si="4"/>
        <v>2571</v>
      </c>
      <c r="Q37" s="224">
        <f t="shared" si="4"/>
        <v>0</v>
      </c>
      <c r="R37" s="224">
        <f t="shared" si="4"/>
        <v>57</v>
      </c>
      <c r="S37" s="224">
        <f t="shared" si="4"/>
        <v>0</v>
      </c>
      <c r="T37" s="224">
        <f t="shared" si="4"/>
        <v>57</v>
      </c>
      <c r="U37" s="230">
        <f t="shared" si="4"/>
        <v>200</v>
      </c>
      <c r="V37" s="230">
        <f t="shared" si="4"/>
        <v>2</v>
      </c>
      <c r="W37" s="231">
        <f t="shared" si="4"/>
        <v>41744</v>
      </c>
      <c r="X37" s="231">
        <f>SUM(X7:X33)</f>
        <v>1752</v>
      </c>
      <c r="Y37" s="231">
        <f aca="true" t="shared" si="5" ref="Y37:AB37">SUM(Y7:Y29)</f>
        <v>522</v>
      </c>
      <c r="Z37" s="231">
        <f t="shared" si="5"/>
        <v>256</v>
      </c>
      <c r="AA37" s="231">
        <f t="shared" si="5"/>
        <v>679</v>
      </c>
      <c r="AB37" s="231">
        <f t="shared" si="5"/>
        <v>141</v>
      </c>
      <c r="AC37" s="231">
        <f>SUM(AC7:AC33)</f>
        <v>12327.134000000002</v>
      </c>
      <c r="AD37" s="231">
        <v>4.44</v>
      </c>
    </row>
    <row r="38" spans="1:30" ht="21.75" customHeight="1">
      <c r="A38" s="214" t="s">
        <v>210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36"/>
    </row>
    <row r="39" spans="1:30" ht="21.75" customHeight="1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37"/>
    </row>
    <row r="40" spans="2:30" ht="25.5" customHeight="1">
      <c r="B40" s="218" t="s">
        <v>176</v>
      </c>
      <c r="C40" s="218"/>
      <c r="D40" s="218"/>
      <c r="E40" s="219"/>
      <c r="F40" s="219"/>
      <c r="G40" s="218"/>
      <c r="H40" s="218"/>
      <c r="I40" s="227"/>
      <c r="J40" s="228" t="s">
        <v>925</v>
      </c>
      <c r="K40" s="219"/>
      <c r="L40" s="219"/>
      <c r="M40" s="219"/>
      <c r="N40" s="219"/>
      <c r="P40" s="219"/>
      <c r="Q40" s="219"/>
      <c r="R40" s="232" t="s">
        <v>177</v>
      </c>
      <c r="S40" s="227"/>
      <c r="T40" s="227"/>
      <c r="U40" s="227"/>
      <c r="V40" s="219"/>
      <c r="W40" s="219"/>
      <c r="X40" s="219"/>
      <c r="Y40" s="219"/>
      <c r="Z40" s="219" t="s">
        <v>211</v>
      </c>
      <c r="AA40" s="219"/>
      <c r="AB40" s="238" t="s">
        <v>958</v>
      </c>
      <c r="AC40" s="239"/>
      <c r="AD40" s="239"/>
    </row>
    <row r="41" ht="25.5" customHeight="1"/>
    <row r="42" spans="9:10" ht="25.5" customHeight="1">
      <c r="I42" s="229"/>
      <c r="J42" s="229"/>
    </row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25">
    <mergeCell ref="A1:AD1"/>
    <mergeCell ref="C3:E3"/>
    <mergeCell ref="F3:H3"/>
    <mergeCell ref="I3:N3"/>
    <mergeCell ref="Q3:T3"/>
    <mergeCell ref="U3:V3"/>
    <mergeCell ref="W3:Y3"/>
    <mergeCell ref="AA3:AB3"/>
    <mergeCell ref="A37:B37"/>
    <mergeCell ref="B40:D40"/>
    <mergeCell ref="G40:I40"/>
    <mergeCell ref="AB40:AD40"/>
    <mergeCell ref="B3:B6"/>
    <mergeCell ref="C4:C6"/>
    <mergeCell ref="D4:D6"/>
    <mergeCell ref="E4:E6"/>
    <mergeCell ref="W4:W5"/>
    <mergeCell ref="AD5:AD6"/>
    <mergeCell ref="A38:J39"/>
    <mergeCell ref="I4:J5"/>
    <mergeCell ref="K4:L5"/>
    <mergeCell ref="M4:N5"/>
    <mergeCell ref="U4:V5"/>
    <mergeCell ref="AA4:AB5"/>
    <mergeCell ref="F4:H5"/>
  </mergeCells>
  <printOptions horizontalCentered="1" verticalCentered="1"/>
  <pageMargins left="0.5895833333333333" right="0.42986111111111114" top="0.38958333333333334" bottom="0.5097222222222222" header="0.38958333333333334" footer="0.5097222222222222"/>
  <pageSetup fitToHeight="1" fitToWidth="1" horizontalDpi="360" verticalDpi="360" orientation="landscape" paperSize="8" scale="9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F42"/>
  <sheetViews>
    <sheetView zoomScale="75" zoomScaleNormal="75" workbookViewId="0" topLeftCell="A1">
      <pane xSplit="2" ySplit="6" topLeftCell="C13" activePane="bottomRight" state="frozen"/>
      <selection pane="bottomRight" activeCell="A1" sqref="A1:AD1"/>
    </sheetView>
  </sheetViews>
  <sheetFormatPr defaultColWidth="9.00390625" defaultRowHeight="14.25"/>
  <cols>
    <col min="1" max="1" width="2.875" style="144" customWidth="1"/>
    <col min="2" max="2" width="26.25390625" style="144" customWidth="1"/>
    <col min="3" max="5" width="3.375" style="144" customWidth="1"/>
    <col min="6" max="6" width="9.25390625" style="144" customWidth="1"/>
    <col min="7" max="7" width="10.00390625" style="144" customWidth="1"/>
    <col min="8" max="8" width="10.625" style="144" customWidth="1"/>
    <col min="9" max="9" width="6.875" style="145" customWidth="1"/>
    <col min="10" max="10" width="4.875" style="145" customWidth="1"/>
    <col min="11" max="11" width="7.125" style="144" customWidth="1"/>
    <col min="12" max="12" width="4.25390625" style="144" customWidth="1"/>
    <col min="13" max="13" width="6.875" style="144" customWidth="1"/>
    <col min="14" max="14" width="4.75390625" style="144" customWidth="1"/>
    <col min="15" max="15" width="5.00390625" style="144" customWidth="1"/>
    <col min="16" max="16" width="5.25390625" style="144" customWidth="1"/>
    <col min="17" max="17" width="5.375" style="144" customWidth="1"/>
    <col min="18" max="18" width="4.00390625" style="144" customWidth="1"/>
    <col min="19" max="19" width="3.625" style="144" customWidth="1"/>
    <col min="20" max="20" width="4.50390625" style="144" customWidth="1"/>
    <col min="21" max="21" width="4.875" style="144" customWidth="1"/>
    <col min="22" max="22" width="4.375" style="144" customWidth="1"/>
    <col min="23" max="23" width="7.50390625" style="144" customWidth="1"/>
    <col min="24" max="24" width="5.50390625" style="144" customWidth="1"/>
    <col min="25" max="25" width="5.25390625" style="144" customWidth="1"/>
    <col min="26" max="26" width="5.125" style="144" customWidth="1"/>
    <col min="27" max="27" width="6.50390625" style="144" customWidth="1"/>
    <col min="28" max="28" width="5.75390625" style="144" customWidth="1"/>
    <col min="29" max="29" width="12.00390625" style="144" customWidth="1"/>
    <col min="30" max="30" width="7.75390625" style="144" customWidth="1"/>
    <col min="31" max="31" width="5.625" style="144" customWidth="1"/>
    <col min="32" max="32" width="9.125" style="144" customWidth="1"/>
    <col min="33" max="33" width="8.375" style="144" customWidth="1"/>
    <col min="34" max="16384" width="9.00390625" style="144" customWidth="1"/>
  </cols>
  <sheetData>
    <row r="1" spans="1:30" ht="21">
      <c r="A1" s="146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28" ht="15">
      <c r="A2" s="144" t="s">
        <v>959</v>
      </c>
      <c r="V2" s="144" t="s">
        <v>960</v>
      </c>
      <c r="AB2" s="144" t="s">
        <v>101</v>
      </c>
    </row>
    <row r="3" spans="1:30" s="141" customFormat="1" ht="15.75" customHeight="1">
      <c r="A3" s="148" t="s">
        <v>102</v>
      </c>
      <c r="B3" s="149" t="s">
        <v>103</v>
      </c>
      <c r="C3" s="149" t="s">
        <v>104</v>
      </c>
      <c r="D3" s="149"/>
      <c r="E3" s="149"/>
      <c r="F3" s="150" t="s">
        <v>105</v>
      </c>
      <c r="G3" s="151"/>
      <c r="H3" s="151"/>
      <c r="I3" s="151" t="s">
        <v>106</v>
      </c>
      <c r="J3" s="151"/>
      <c r="K3" s="151"/>
      <c r="L3" s="151"/>
      <c r="M3" s="151"/>
      <c r="N3" s="151"/>
      <c r="O3" s="148" t="s">
        <v>107</v>
      </c>
      <c r="P3" s="148" t="s">
        <v>108</v>
      </c>
      <c r="Q3" s="185" t="s">
        <v>109</v>
      </c>
      <c r="R3" s="186"/>
      <c r="S3" s="186"/>
      <c r="T3" s="150"/>
      <c r="U3" s="151" t="s">
        <v>110</v>
      </c>
      <c r="V3" s="151"/>
      <c r="W3" s="185" t="s">
        <v>111</v>
      </c>
      <c r="X3" s="186"/>
      <c r="Y3" s="150"/>
      <c r="Z3" s="148" t="s">
        <v>112</v>
      </c>
      <c r="AA3" s="151" t="s">
        <v>113</v>
      </c>
      <c r="AB3" s="151"/>
      <c r="AC3" s="148" t="s">
        <v>114</v>
      </c>
      <c r="AD3" s="148" t="s">
        <v>115</v>
      </c>
    </row>
    <row r="4" spans="1:30" s="141" customFormat="1" ht="15.75" customHeight="1">
      <c r="A4" s="152"/>
      <c r="B4" s="149"/>
      <c r="C4" s="149" t="s">
        <v>116</v>
      </c>
      <c r="D4" s="149" t="s">
        <v>117</v>
      </c>
      <c r="E4" s="149" t="s">
        <v>118</v>
      </c>
      <c r="F4" s="153" t="s">
        <v>119</v>
      </c>
      <c r="G4" s="154"/>
      <c r="H4" s="154"/>
      <c r="I4" s="177" t="s">
        <v>120</v>
      </c>
      <c r="J4" s="177"/>
      <c r="K4" s="151" t="s">
        <v>121</v>
      </c>
      <c r="L4" s="151"/>
      <c r="M4" s="151" t="s">
        <v>122</v>
      </c>
      <c r="N4" s="151"/>
      <c r="O4" s="152"/>
      <c r="P4" s="178" t="s">
        <v>123</v>
      </c>
      <c r="Q4" s="148"/>
      <c r="R4" s="148"/>
      <c r="S4" s="148"/>
      <c r="T4" s="148"/>
      <c r="U4" s="151" t="s">
        <v>124</v>
      </c>
      <c r="V4" s="151"/>
      <c r="W4" s="148" t="s">
        <v>125</v>
      </c>
      <c r="X4" s="148" t="s">
        <v>126</v>
      </c>
      <c r="Y4" s="148" t="s">
        <v>126</v>
      </c>
      <c r="Z4" s="152" t="s">
        <v>127</v>
      </c>
      <c r="AA4" s="151" t="s">
        <v>128</v>
      </c>
      <c r="AB4" s="151"/>
      <c r="AC4" s="155" t="s">
        <v>129</v>
      </c>
      <c r="AD4" s="155" t="s">
        <v>130</v>
      </c>
    </row>
    <row r="5" spans="1:30" s="141" customFormat="1" ht="18.75" customHeight="1">
      <c r="A5" s="152"/>
      <c r="B5" s="149"/>
      <c r="C5" s="149"/>
      <c r="D5" s="149"/>
      <c r="E5" s="149"/>
      <c r="F5" s="153"/>
      <c r="G5" s="154"/>
      <c r="H5" s="154"/>
      <c r="I5" s="177"/>
      <c r="J5" s="177"/>
      <c r="K5" s="151"/>
      <c r="L5" s="151"/>
      <c r="M5" s="151"/>
      <c r="N5" s="151"/>
      <c r="O5" s="155" t="s">
        <v>131</v>
      </c>
      <c r="P5" s="172" t="s">
        <v>132</v>
      </c>
      <c r="Q5" s="152"/>
      <c r="R5" s="152" t="s">
        <v>133</v>
      </c>
      <c r="S5" s="152"/>
      <c r="T5" s="156"/>
      <c r="U5" s="151"/>
      <c r="V5" s="151"/>
      <c r="W5" s="152"/>
      <c r="X5" s="152"/>
      <c r="Y5" s="152"/>
      <c r="Z5" s="155" t="s">
        <v>134</v>
      </c>
      <c r="AA5" s="151"/>
      <c r="AB5" s="151"/>
      <c r="AC5" s="148" t="s">
        <v>135</v>
      </c>
      <c r="AD5" s="188" t="s">
        <v>136</v>
      </c>
    </row>
    <row r="6" spans="1:30" s="141" customFormat="1" ht="21.75" customHeight="1">
      <c r="A6" s="155" t="s">
        <v>137</v>
      </c>
      <c r="B6" s="149"/>
      <c r="C6" s="149"/>
      <c r="D6" s="149"/>
      <c r="E6" s="149"/>
      <c r="F6" s="150" t="s">
        <v>120</v>
      </c>
      <c r="G6" s="151" t="s">
        <v>121</v>
      </c>
      <c r="H6" s="151" t="s">
        <v>122</v>
      </c>
      <c r="I6" s="177" t="s">
        <v>138</v>
      </c>
      <c r="J6" s="177" t="s">
        <v>139</v>
      </c>
      <c r="K6" s="151" t="s">
        <v>138</v>
      </c>
      <c r="L6" s="151" t="s">
        <v>139</v>
      </c>
      <c r="M6" s="151" t="s">
        <v>138</v>
      </c>
      <c r="N6" s="151" t="s">
        <v>139</v>
      </c>
      <c r="O6" s="151" t="s">
        <v>128</v>
      </c>
      <c r="P6" s="151" t="s">
        <v>128</v>
      </c>
      <c r="Q6" s="187" t="s">
        <v>140</v>
      </c>
      <c r="R6" s="155" t="s">
        <v>141</v>
      </c>
      <c r="S6" s="155" t="s">
        <v>142</v>
      </c>
      <c r="T6" s="155" t="s">
        <v>122</v>
      </c>
      <c r="U6" s="151" t="s">
        <v>138</v>
      </c>
      <c r="V6" s="151" t="s">
        <v>139</v>
      </c>
      <c r="W6" s="155"/>
      <c r="X6" s="155" t="s">
        <v>143</v>
      </c>
      <c r="Y6" s="155" t="s">
        <v>144</v>
      </c>
      <c r="Z6" s="151" t="s">
        <v>145</v>
      </c>
      <c r="AA6" s="154" t="s">
        <v>146</v>
      </c>
      <c r="AB6" s="154" t="s">
        <v>147</v>
      </c>
      <c r="AC6" s="155" t="s">
        <v>148</v>
      </c>
      <c r="AD6" s="187"/>
    </row>
    <row r="7" spans="1:30" s="142" customFormat="1" ht="21.75" customHeight="1">
      <c r="A7" s="156">
        <v>1</v>
      </c>
      <c r="B7" s="156" t="s">
        <v>961</v>
      </c>
      <c r="C7" s="156" t="s">
        <v>150</v>
      </c>
      <c r="D7" s="156"/>
      <c r="E7" s="156"/>
      <c r="F7" s="157">
        <v>19.093</v>
      </c>
      <c r="G7" s="157">
        <v>5.46</v>
      </c>
      <c r="H7" s="158">
        <f>F7+G7</f>
        <v>24.553</v>
      </c>
      <c r="I7" s="159">
        <v>7525</v>
      </c>
      <c r="J7" s="159">
        <v>31</v>
      </c>
      <c r="K7" s="156">
        <v>9455</v>
      </c>
      <c r="L7" s="156">
        <v>40</v>
      </c>
      <c r="M7" s="156">
        <f>I7+K7</f>
        <v>16980</v>
      </c>
      <c r="N7" s="156">
        <f>J7+L7</f>
        <v>71</v>
      </c>
      <c r="O7" s="156">
        <v>219</v>
      </c>
      <c r="P7" s="156">
        <v>165</v>
      </c>
      <c r="Q7" s="156">
        <v>0</v>
      </c>
      <c r="R7" s="156">
        <v>13</v>
      </c>
      <c r="S7" s="156">
        <v>0</v>
      </c>
      <c r="T7" s="156">
        <f>Q7+R7+S7</f>
        <v>13</v>
      </c>
      <c r="U7" s="156">
        <v>0</v>
      </c>
      <c r="V7" s="156">
        <v>0</v>
      </c>
      <c r="W7" s="156">
        <v>3636</v>
      </c>
      <c r="X7" s="156">
        <v>176</v>
      </c>
      <c r="Y7" s="156">
        <v>6</v>
      </c>
      <c r="Z7" s="156">
        <v>4</v>
      </c>
      <c r="AA7" s="156">
        <v>174</v>
      </c>
      <c r="AB7" s="156">
        <v>0</v>
      </c>
      <c r="AC7" s="189">
        <v>1701.2813</v>
      </c>
      <c r="AD7" s="190">
        <v>8.75</v>
      </c>
    </row>
    <row r="8" spans="1:30" s="142" customFormat="1" ht="21.75" customHeight="1">
      <c r="A8" s="149">
        <v>2</v>
      </c>
      <c r="B8" s="149" t="s">
        <v>962</v>
      </c>
      <c r="C8" s="156" t="s">
        <v>150</v>
      </c>
      <c r="D8" s="149"/>
      <c r="E8" s="149"/>
      <c r="F8" s="158">
        <v>13.246</v>
      </c>
      <c r="G8" s="158">
        <v>2.57</v>
      </c>
      <c r="H8" s="158">
        <f aca="true" t="shared" si="0" ref="H8:H34">F8+G8</f>
        <v>15.816</v>
      </c>
      <c r="I8" s="160">
        <v>6810</v>
      </c>
      <c r="J8" s="160">
        <v>28</v>
      </c>
      <c r="K8" s="149">
        <v>930</v>
      </c>
      <c r="L8" s="149">
        <v>7</v>
      </c>
      <c r="M8" s="156">
        <f aca="true" t="shared" si="1" ref="M8:N34">I8+K8</f>
        <v>7740</v>
      </c>
      <c r="N8" s="156">
        <f t="shared" si="1"/>
        <v>35</v>
      </c>
      <c r="O8" s="149">
        <v>105</v>
      </c>
      <c r="P8" s="149">
        <v>87</v>
      </c>
      <c r="Q8" s="149">
        <v>0</v>
      </c>
      <c r="R8" s="149">
        <v>6</v>
      </c>
      <c r="S8" s="149">
        <v>0</v>
      </c>
      <c r="T8" s="156">
        <f aca="true" t="shared" si="2" ref="T8:T34">Q8+R8+S8</f>
        <v>6</v>
      </c>
      <c r="U8" s="149">
        <v>0</v>
      </c>
      <c r="V8" s="149">
        <v>0</v>
      </c>
      <c r="W8" s="149">
        <v>4517</v>
      </c>
      <c r="X8" s="149">
        <v>73</v>
      </c>
      <c r="Y8" s="149">
        <v>0</v>
      </c>
      <c r="Z8" s="149">
        <v>0</v>
      </c>
      <c r="AA8" s="149">
        <v>102</v>
      </c>
      <c r="AB8" s="149">
        <v>0</v>
      </c>
      <c r="AC8" s="191">
        <v>1589.5121</v>
      </c>
      <c r="AD8" s="192">
        <v>7.61</v>
      </c>
    </row>
    <row r="9" spans="1:30" s="142" customFormat="1" ht="21.75" customHeight="1">
      <c r="A9" s="149">
        <v>3</v>
      </c>
      <c r="B9" s="149" t="s">
        <v>963</v>
      </c>
      <c r="C9" s="156" t="s">
        <v>150</v>
      </c>
      <c r="D9" s="149"/>
      <c r="E9" s="149"/>
      <c r="F9" s="158">
        <v>0.58</v>
      </c>
      <c r="G9" s="158">
        <v>0</v>
      </c>
      <c r="H9" s="158">
        <f t="shared" si="0"/>
        <v>0.58</v>
      </c>
      <c r="I9" s="160">
        <v>0</v>
      </c>
      <c r="J9" s="160">
        <v>0</v>
      </c>
      <c r="K9" s="149">
        <v>3200</v>
      </c>
      <c r="L9" s="149">
        <v>4</v>
      </c>
      <c r="M9" s="156">
        <f t="shared" si="1"/>
        <v>3200</v>
      </c>
      <c r="N9" s="156">
        <f t="shared" si="1"/>
        <v>4</v>
      </c>
      <c r="O9" s="149">
        <v>0</v>
      </c>
      <c r="P9" s="149">
        <v>3</v>
      </c>
      <c r="Q9" s="149"/>
      <c r="R9" s="149">
        <v>2</v>
      </c>
      <c r="S9" s="149"/>
      <c r="T9" s="149">
        <f t="shared" si="2"/>
        <v>2</v>
      </c>
      <c r="U9" s="149">
        <v>0</v>
      </c>
      <c r="V9" s="149">
        <v>0</v>
      </c>
      <c r="W9" s="149">
        <v>0</v>
      </c>
      <c r="X9" s="149">
        <v>1</v>
      </c>
      <c r="Y9" s="149">
        <v>1</v>
      </c>
      <c r="Z9" s="149">
        <v>1</v>
      </c>
      <c r="AA9" s="149">
        <v>0</v>
      </c>
      <c r="AB9" s="149">
        <v>0</v>
      </c>
      <c r="AC9" s="193">
        <v>80.17</v>
      </c>
      <c r="AD9" s="194">
        <v>0.03</v>
      </c>
    </row>
    <row r="10" spans="1:30" s="142" customFormat="1" ht="21.75" customHeight="1">
      <c r="A10" s="156">
        <v>4</v>
      </c>
      <c r="B10" s="156" t="s">
        <v>964</v>
      </c>
      <c r="C10" s="156" t="s">
        <v>150</v>
      </c>
      <c r="D10" s="156"/>
      <c r="E10" s="156"/>
      <c r="F10" s="157">
        <v>32.721</v>
      </c>
      <c r="G10" s="157">
        <v>3.929</v>
      </c>
      <c r="H10" s="158">
        <f t="shared" si="0"/>
        <v>36.65</v>
      </c>
      <c r="I10" s="159">
        <v>7385</v>
      </c>
      <c r="J10" s="159">
        <v>36</v>
      </c>
      <c r="K10" s="156">
        <v>12895</v>
      </c>
      <c r="L10" s="156">
        <v>42</v>
      </c>
      <c r="M10" s="156">
        <f t="shared" si="1"/>
        <v>20280</v>
      </c>
      <c r="N10" s="156">
        <f t="shared" si="1"/>
        <v>78</v>
      </c>
      <c r="O10" s="156">
        <v>246</v>
      </c>
      <c r="P10" s="156">
        <v>195</v>
      </c>
      <c r="Q10" s="156">
        <v>0</v>
      </c>
      <c r="R10" s="156">
        <v>18</v>
      </c>
      <c r="S10" s="156">
        <v>0</v>
      </c>
      <c r="T10" s="156">
        <f t="shared" si="2"/>
        <v>18</v>
      </c>
      <c r="U10" s="156">
        <v>0</v>
      </c>
      <c r="V10" s="156">
        <v>0</v>
      </c>
      <c r="W10" s="156">
        <v>2360</v>
      </c>
      <c r="X10" s="156">
        <v>0</v>
      </c>
      <c r="Y10" s="156">
        <v>0</v>
      </c>
      <c r="Z10" s="156">
        <v>8</v>
      </c>
      <c r="AA10" s="156">
        <v>0</v>
      </c>
      <c r="AB10" s="156">
        <v>0</v>
      </c>
      <c r="AC10" s="193">
        <v>1740.8508</v>
      </c>
      <c r="AD10" s="194">
        <v>7.37</v>
      </c>
    </row>
    <row r="11" spans="1:30" s="142" customFormat="1" ht="21.75" customHeight="1">
      <c r="A11" s="156">
        <v>5</v>
      </c>
      <c r="B11" s="156" t="s">
        <v>965</v>
      </c>
      <c r="C11" s="156"/>
      <c r="D11" s="156" t="s">
        <v>150</v>
      </c>
      <c r="E11" s="156"/>
      <c r="F11" s="157">
        <v>50.2</v>
      </c>
      <c r="G11" s="157">
        <v>0.22</v>
      </c>
      <c r="H11" s="158">
        <f t="shared" si="0"/>
        <v>50.42</v>
      </c>
      <c r="I11" s="159">
        <v>1851</v>
      </c>
      <c r="J11" s="159">
        <v>33</v>
      </c>
      <c r="K11" s="156">
        <v>60</v>
      </c>
      <c r="L11" s="156">
        <v>2</v>
      </c>
      <c r="M11" s="156">
        <f t="shared" si="1"/>
        <v>1911</v>
      </c>
      <c r="N11" s="156">
        <f t="shared" si="1"/>
        <v>35</v>
      </c>
      <c r="O11" s="156">
        <v>141</v>
      </c>
      <c r="P11" s="156">
        <v>114</v>
      </c>
      <c r="Q11" s="156">
        <v>0</v>
      </c>
      <c r="R11" s="156">
        <v>2</v>
      </c>
      <c r="S11" s="156">
        <v>0</v>
      </c>
      <c r="T11" s="156">
        <f t="shared" si="2"/>
        <v>2</v>
      </c>
      <c r="U11" s="156">
        <v>0</v>
      </c>
      <c r="V11" s="156">
        <v>0</v>
      </c>
      <c r="W11" s="156">
        <v>2891</v>
      </c>
      <c r="X11" s="156">
        <v>126</v>
      </c>
      <c r="Y11" s="156">
        <v>0</v>
      </c>
      <c r="Z11" s="156">
        <v>0</v>
      </c>
      <c r="AA11" s="156">
        <v>18</v>
      </c>
      <c r="AB11" s="156">
        <v>0</v>
      </c>
      <c r="AC11" s="195">
        <v>141.2107</v>
      </c>
      <c r="AD11" s="196">
        <v>6.3</v>
      </c>
    </row>
    <row r="12" spans="1:30" s="142" customFormat="1" ht="21.75" customHeight="1">
      <c r="A12" s="156">
        <v>6</v>
      </c>
      <c r="B12" s="156" t="s">
        <v>966</v>
      </c>
      <c r="C12" s="156"/>
      <c r="D12" s="156" t="s">
        <v>150</v>
      </c>
      <c r="E12" s="156"/>
      <c r="F12" s="157">
        <v>71.627</v>
      </c>
      <c r="G12" s="157">
        <v>0.96</v>
      </c>
      <c r="H12" s="158">
        <f t="shared" si="0"/>
        <v>72.58699999999999</v>
      </c>
      <c r="I12" s="159">
        <v>2990</v>
      </c>
      <c r="J12" s="159">
        <v>51</v>
      </c>
      <c r="K12" s="156">
        <v>1190</v>
      </c>
      <c r="L12" s="156">
        <v>10</v>
      </c>
      <c r="M12" s="156">
        <f t="shared" si="1"/>
        <v>4180</v>
      </c>
      <c r="N12" s="156">
        <f t="shared" si="1"/>
        <v>61</v>
      </c>
      <c r="O12" s="156">
        <v>252</v>
      </c>
      <c r="P12" s="156">
        <v>174</v>
      </c>
      <c r="Q12" s="156">
        <v>0</v>
      </c>
      <c r="R12" s="156">
        <v>5</v>
      </c>
      <c r="S12" s="156">
        <v>1</v>
      </c>
      <c r="T12" s="156">
        <f t="shared" si="2"/>
        <v>6</v>
      </c>
      <c r="U12" s="156">
        <v>0</v>
      </c>
      <c r="V12" s="156">
        <v>0</v>
      </c>
      <c r="W12" s="156">
        <v>1</v>
      </c>
      <c r="X12" s="156">
        <v>58</v>
      </c>
      <c r="Y12" s="156">
        <v>2</v>
      </c>
      <c r="Z12" s="156">
        <v>2</v>
      </c>
      <c r="AA12" s="156">
        <v>14</v>
      </c>
      <c r="AB12" s="149">
        <v>2</v>
      </c>
      <c r="AC12" s="195">
        <v>470.5159</v>
      </c>
      <c r="AD12" s="196">
        <v>7.23</v>
      </c>
    </row>
    <row r="13" spans="1:30" s="142" customFormat="1" ht="21.75" customHeight="1">
      <c r="A13" s="156">
        <v>7</v>
      </c>
      <c r="B13" s="149" t="s">
        <v>967</v>
      </c>
      <c r="C13" s="149"/>
      <c r="D13" s="156" t="s">
        <v>150</v>
      </c>
      <c r="E13" s="149"/>
      <c r="F13" s="158">
        <v>88.512</v>
      </c>
      <c r="G13" s="158">
        <v>9.035</v>
      </c>
      <c r="H13" s="158">
        <f t="shared" si="0"/>
        <v>97.547</v>
      </c>
      <c r="I13" s="160">
        <v>4330</v>
      </c>
      <c r="J13" s="160">
        <v>60</v>
      </c>
      <c r="K13" s="149">
        <v>2531</v>
      </c>
      <c r="L13" s="149">
        <v>26</v>
      </c>
      <c r="M13" s="156">
        <f t="shared" si="1"/>
        <v>6861</v>
      </c>
      <c r="N13" s="156">
        <f t="shared" si="1"/>
        <v>86</v>
      </c>
      <c r="O13" s="149">
        <v>342</v>
      </c>
      <c r="P13" s="149">
        <v>243</v>
      </c>
      <c r="Q13" s="156">
        <v>0</v>
      </c>
      <c r="R13" s="149">
        <v>1</v>
      </c>
      <c r="S13" s="149">
        <v>0</v>
      </c>
      <c r="T13" s="156">
        <f t="shared" si="2"/>
        <v>1</v>
      </c>
      <c r="U13" s="156">
        <v>0</v>
      </c>
      <c r="V13" s="156">
        <v>0</v>
      </c>
      <c r="W13" s="149">
        <v>1</v>
      </c>
      <c r="X13" s="149">
        <v>75</v>
      </c>
      <c r="Y13" s="149">
        <v>6</v>
      </c>
      <c r="Z13" s="149">
        <v>14</v>
      </c>
      <c r="AA13" s="149">
        <v>41</v>
      </c>
      <c r="AB13" s="149">
        <v>14</v>
      </c>
      <c r="AC13" s="193">
        <v>610.4726</v>
      </c>
      <c r="AD13" s="194">
        <v>5.28</v>
      </c>
    </row>
    <row r="14" spans="1:30" s="142" customFormat="1" ht="21.75" customHeight="1">
      <c r="A14" s="156">
        <v>8</v>
      </c>
      <c r="B14" s="149" t="s">
        <v>968</v>
      </c>
      <c r="C14" s="149"/>
      <c r="D14" s="156" t="s">
        <v>150</v>
      </c>
      <c r="E14" s="149"/>
      <c r="F14" s="158">
        <v>39.782</v>
      </c>
      <c r="G14" s="158">
        <v>4.745</v>
      </c>
      <c r="H14" s="158">
        <f t="shared" si="0"/>
        <v>44.526999999999994</v>
      </c>
      <c r="I14" s="160">
        <v>1823</v>
      </c>
      <c r="J14" s="160">
        <v>29</v>
      </c>
      <c r="K14" s="149">
        <v>263</v>
      </c>
      <c r="L14" s="149">
        <v>5</v>
      </c>
      <c r="M14" s="156">
        <f t="shared" si="1"/>
        <v>2086</v>
      </c>
      <c r="N14" s="156">
        <f t="shared" si="1"/>
        <v>34</v>
      </c>
      <c r="O14" s="149">
        <v>159</v>
      </c>
      <c r="P14" s="149">
        <v>99</v>
      </c>
      <c r="Q14" s="156">
        <v>0</v>
      </c>
      <c r="R14" s="149">
        <v>8</v>
      </c>
      <c r="S14" s="149">
        <v>3</v>
      </c>
      <c r="T14" s="156">
        <f t="shared" si="2"/>
        <v>11</v>
      </c>
      <c r="U14" s="156">
        <v>0</v>
      </c>
      <c r="V14" s="156">
        <v>0</v>
      </c>
      <c r="W14" s="149">
        <v>0</v>
      </c>
      <c r="X14" s="149">
        <v>32</v>
      </c>
      <c r="Y14" s="149">
        <v>1</v>
      </c>
      <c r="Z14" s="149">
        <v>1</v>
      </c>
      <c r="AA14" s="149">
        <v>7</v>
      </c>
      <c r="AB14" s="149">
        <v>1</v>
      </c>
      <c r="AC14" s="193">
        <v>194.6437</v>
      </c>
      <c r="AD14" s="194">
        <v>6.01</v>
      </c>
    </row>
    <row r="15" spans="1:30" s="142" customFormat="1" ht="21.75" customHeight="1">
      <c r="A15" s="156">
        <v>9</v>
      </c>
      <c r="B15" s="156" t="s">
        <v>969</v>
      </c>
      <c r="C15" s="156"/>
      <c r="D15" s="156" t="s">
        <v>150</v>
      </c>
      <c r="E15" s="156"/>
      <c r="F15" s="157">
        <v>56.402</v>
      </c>
      <c r="G15" s="157">
        <v>1.8</v>
      </c>
      <c r="H15" s="158">
        <f t="shared" si="0"/>
        <v>58.202</v>
      </c>
      <c r="I15" s="159">
        <v>1023</v>
      </c>
      <c r="J15" s="159">
        <v>24</v>
      </c>
      <c r="K15" s="156">
        <v>1420</v>
      </c>
      <c r="L15" s="156">
        <v>12</v>
      </c>
      <c r="M15" s="156">
        <f t="shared" si="1"/>
        <v>2443</v>
      </c>
      <c r="N15" s="156">
        <f t="shared" si="1"/>
        <v>36</v>
      </c>
      <c r="O15" s="156">
        <v>138</v>
      </c>
      <c r="P15" s="156">
        <v>111</v>
      </c>
      <c r="Q15" s="156">
        <v>0</v>
      </c>
      <c r="R15" s="156">
        <v>2</v>
      </c>
      <c r="S15" s="156">
        <v>0</v>
      </c>
      <c r="T15" s="156">
        <f t="shared" si="2"/>
        <v>2</v>
      </c>
      <c r="U15" s="156">
        <v>0</v>
      </c>
      <c r="V15" s="156">
        <v>0</v>
      </c>
      <c r="W15" s="156">
        <v>5</v>
      </c>
      <c r="X15" s="156">
        <v>36</v>
      </c>
      <c r="Y15" s="156">
        <v>4</v>
      </c>
      <c r="Z15" s="156">
        <v>1</v>
      </c>
      <c r="AA15" s="156">
        <v>6</v>
      </c>
      <c r="AB15" s="156">
        <v>0</v>
      </c>
      <c r="AC15" s="195">
        <v>546.2422</v>
      </c>
      <c r="AD15" s="196">
        <v>5.36</v>
      </c>
    </row>
    <row r="16" spans="1:30" s="142" customFormat="1" ht="21.75" customHeight="1">
      <c r="A16" s="156">
        <v>10</v>
      </c>
      <c r="B16" s="149" t="s">
        <v>970</v>
      </c>
      <c r="C16" s="149"/>
      <c r="D16" s="149" t="s">
        <v>150</v>
      </c>
      <c r="E16" s="149"/>
      <c r="F16" s="158">
        <v>59.259</v>
      </c>
      <c r="G16" s="158">
        <v>1.2</v>
      </c>
      <c r="H16" s="158">
        <f t="shared" si="0"/>
        <v>60.459</v>
      </c>
      <c r="I16" s="160">
        <v>1486</v>
      </c>
      <c r="J16" s="160">
        <v>35</v>
      </c>
      <c r="K16" s="149">
        <v>250</v>
      </c>
      <c r="L16" s="149">
        <v>7</v>
      </c>
      <c r="M16" s="156">
        <f t="shared" si="1"/>
        <v>1736</v>
      </c>
      <c r="N16" s="156">
        <f t="shared" si="1"/>
        <v>42</v>
      </c>
      <c r="O16" s="149">
        <v>129</v>
      </c>
      <c r="P16" s="149">
        <v>117</v>
      </c>
      <c r="Q16" s="156">
        <v>0</v>
      </c>
      <c r="R16" s="149">
        <v>3</v>
      </c>
      <c r="S16" s="149">
        <v>0</v>
      </c>
      <c r="T16" s="156">
        <f t="shared" si="2"/>
        <v>3</v>
      </c>
      <c r="U16" s="156">
        <v>0</v>
      </c>
      <c r="V16" s="156">
        <v>0</v>
      </c>
      <c r="W16" s="149">
        <v>0</v>
      </c>
      <c r="X16" s="149">
        <v>38</v>
      </c>
      <c r="Y16" s="149">
        <v>0</v>
      </c>
      <c r="Z16" s="149">
        <v>0</v>
      </c>
      <c r="AA16" s="149">
        <v>6</v>
      </c>
      <c r="AB16" s="149">
        <v>0</v>
      </c>
      <c r="AC16" s="193">
        <v>198.5351</v>
      </c>
      <c r="AD16" s="194">
        <v>5.57</v>
      </c>
    </row>
    <row r="17" spans="1:30" s="142" customFormat="1" ht="21.75" customHeight="1">
      <c r="A17" s="156">
        <v>11</v>
      </c>
      <c r="B17" s="149" t="s">
        <v>971</v>
      </c>
      <c r="C17" s="149"/>
      <c r="D17" s="149" t="s">
        <v>150</v>
      </c>
      <c r="E17" s="149"/>
      <c r="F17" s="158">
        <v>98.175</v>
      </c>
      <c r="G17" s="158">
        <v>17.191</v>
      </c>
      <c r="H17" s="158">
        <f t="shared" si="0"/>
        <v>115.366</v>
      </c>
      <c r="I17" s="160">
        <v>1918</v>
      </c>
      <c r="J17" s="160">
        <v>29</v>
      </c>
      <c r="K17" s="149">
        <v>1800</v>
      </c>
      <c r="L17" s="149">
        <v>18</v>
      </c>
      <c r="M17" s="156">
        <f t="shared" si="1"/>
        <v>3718</v>
      </c>
      <c r="N17" s="156">
        <f t="shared" si="1"/>
        <v>47</v>
      </c>
      <c r="O17" s="149">
        <v>132</v>
      </c>
      <c r="P17" s="149">
        <v>144</v>
      </c>
      <c r="Q17" s="156">
        <v>0</v>
      </c>
      <c r="R17" s="149">
        <v>4</v>
      </c>
      <c r="S17" s="149">
        <v>0</v>
      </c>
      <c r="T17" s="156">
        <f t="shared" si="2"/>
        <v>4</v>
      </c>
      <c r="U17" s="156">
        <v>0</v>
      </c>
      <c r="V17" s="156">
        <v>0</v>
      </c>
      <c r="W17" s="149">
        <v>2</v>
      </c>
      <c r="X17" s="149">
        <v>47</v>
      </c>
      <c r="Y17" s="149">
        <v>0</v>
      </c>
      <c r="Z17" s="149">
        <v>0</v>
      </c>
      <c r="AA17" s="149">
        <v>12</v>
      </c>
      <c r="AB17" s="149">
        <v>0</v>
      </c>
      <c r="AC17" s="193">
        <v>347.9472</v>
      </c>
      <c r="AD17" s="194">
        <v>2.86</v>
      </c>
    </row>
    <row r="18" spans="1:30" s="142" customFormat="1" ht="21.75" customHeight="1">
      <c r="A18" s="156">
        <v>12</v>
      </c>
      <c r="B18" s="149" t="s">
        <v>972</v>
      </c>
      <c r="C18" s="149"/>
      <c r="D18" s="149"/>
      <c r="E18" s="149" t="s">
        <v>150</v>
      </c>
      <c r="F18" s="158">
        <v>0</v>
      </c>
      <c r="G18" s="158">
        <v>7.417</v>
      </c>
      <c r="H18" s="158">
        <f t="shared" si="0"/>
        <v>7.417</v>
      </c>
      <c r="I18" s="160">
        <v>0</v>
      </c>
      <c r="J18" s="160">
        <v>0</v>
      </c>
      <c r="K18" s="149">
        <v>410</v>
      </c>
      <c r="L18" s="149">
        <v>2</v>
      </c>
      <c r="M18" s="156">
        <f t="shared" si="1"/>
        <v>410</v>
      </c>
      <c r="N18" s="156">
        <f t="shared" si="1"/>
        <v>2</v>
      </c>
      <c r="O18" s="149">
        <v>6</v>
      </c>
      <c r="P18" s="149">
        <v>6</v>
      </c>
      <c r="Q18" s="149">
        <v>0</v>
      </c>
      <c r="R18" s="149">
        <v>0</v>
      </c>
      <c r="S18" s="149">
        <v>0</v>
      </c>
      <c r="T18" s="156">
        <f t="shared" si="2"/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97">
        <v>2</v>
      </c>
      <c r="AB18" s="197">
        <v>0</v>
      </c>
      <c r="AC18" s="198">
        <v>15.5809</v>
      </c>
      <c r="AD18" s="199">
        <v>0</v>
      </c>
    </row>
    <row r="19" spans="1:30" s="142" customFormat="1" ht="21.75" customHeight="1">
      <c r="A19" s="156">
        <v>13</v>
      </c>
      <c r="B19" s="149" t="s">
        <v>973</v>
      </c>
      <c r="C19" s="149"/>
      <c r="D19" s="149"/>
      <c r="E19" s="149" t="s">
        <v>150</v>
      </c>
      <c r="F19" s="158">
        <v>0</v>
      </c>
      <c r="G19" s="158">
        <v>14.351</v>
      </c>
      <c r="H19" s="158">
        <f t="shared" si="0"/>
        <v>14.351</v>
      </c>
      <c r="I19" s="160">
        <v>0</v>
      </c>
      <c r="J19" s="160">
        <v>0</v>
      </c>
      <c r="K19" s="149">
        <v>1450</v>
      </c>
      <c r="L19" s="149">
        <v>8</v>
      </c>
      <c r="M19" s="156">
        <f t="shared" si="1"/>
        <v>1450</v>
      </c>
      <c r="N19" s="156">
        <f t="shared" si="1"/>
        <v>8</v>
      </c>
      <c r="O19" s="149">
        <v>24</v>
      </c>
      <c r="P19" s="149">
        <v>24</v>
      </c>
      <c r="Q19" s="149">
        <v>0</v>
      </c>
      <c r="R19" s="149">
        <v>1</v>
      </c>
      <c r="S19" s="149">
        <v>0</v>
      </c>
      <c r="T19" s="156">
        <f t="shared" si="2"/>
        <v>1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97">
        <v>2</v>
      </c>
      <c r="AB19" s="197">
        <v>0</v>
      </c>
      <c r="AC19" s="198">
        <v>635.2749</v>
      </c>
      <c r="AD19" s="199">
        <v>0</v>
      </c>
    </row>
    <row r="20" spans="1:30" s="142" customFormat="1" ht="21.75" customHeight="1">
      <c r="A20" s="156">
        <v>14</v>
      </c>
      <c r="B20" s="149" t="s">
        <v>974</v>
      </c>
      <c r="C20" s="149"/>
      <c r="D20" s="149"/>
      <c r="E20" s="149" t="s">
        <v>150</v>
      </c>
      <c r="F20" s="158">
        <v>0</v>
      </c>
      <c r="G20" s="158">
        <v>15.23</v>
      </c>
      <c r="H20" s="158">
        <f t="shared" si="0"/>
        <v>15.23</v>
      </c>
      <c r="I20" s="160">
        <v>0</v>
      </c>
      <c r="J20" s="160">
        <v>0</v>
      </c>
      <c r="K20" s="149">
        <v>2075</v>
      </c>
      <c r="L20" s="149">
        <v>4</v>
      </c>
      <c r="M20" s="156">
        <f t="shared" si="1"/>
        <v>2075</v>
      </c>
      <c r="N20" s="156">
        <f t="shared" si="1"/>
        <v>4</v>
      </c>
      <c r="O20" s="149">
        <v>6</v>
      </c>
      <c r="P20" s="149">
        <v>6</v>
      </c>
      <c r="Q20" s="149">
        <v>0</v>
      </c>
      <c r="R20" s="149">
        <v>0</v>
      </c>
      <c r="S20" s="149">
        <v>0</v>
      </c>
      <c r="T20" s="156">
        <f t="shared" si="2"/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2</v>
      </c>
      <c r="AB20" s="149">
        <v>0</v>
      </c>
      <c r="AC20" s="193">
        <v>106.884</v>
      </c>
      <c r="AD20" s="199">
        <v>0</v>
      </c>
    </row>
    <row r="21" spans="1:30" s="142" customFormat="1" ht="21.75" customHeight="1">
      <c r="A21" s="156">
        <v>15</v>
      </c>
      <c r="B21" s="149" t="s">
        <v>975</v>
      </c>
      <c r="C21" s="149"/>
      <c r="D21" s="149"/>
      <c r="E21" s="149" t="s">
        <v>150</v>
      </c>
      <c r="F21" s="158">
        <v>0</v>
      </c>
      <c r="G21" s="158">
        <v>4.831</v>
      </c>
      <c r="H21" s="158">
        <f t="shared" si="0"/>
        <v>4.831</v>
      </c>
      <c r="I21" s="160">
        <v>0</v>
      </c>
      <c r="J21" s="160">
        <v>0</v>
      </c>
      <c r="K21" s="149">
        <v>790</v>
      </c>
      <c r="L21" s="149">
        <v>2</v>
      </c>
      <c r="M21" s="156">
        <f t="shared" si="1"/>
        <v>790</v>
      </c>
      <c r="N21" s="156">
        <f t="shared" si="1"/>
        <v>2</v>
      </c>
      <c r="O21" s="149">
        <v>6</v>
      </c>
      <c r="P21" s="149">
        <v>6</v>
      </c>
      <c r="Q21" s="149">
        <v>0</v>
      </c>
      <c r="R21" s="149">
        <v>0</v>
      </c>
      <c r="S21" s="149">
        <v>0</v>
      </c>
      <c r="T21" s="156">
        <f t="shared" si="2"/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97">
        <v>2</v>
      </c>
      <c r="AB21" s="197">
        <v>0</v>
      </c>
      <c r="AC21" s="198">
        <v>38.6236</v>
      </c>
      <c r="AD21" s="199">
        <v>0</v>
      </c>
    </row>
    <row r="22" spans="1:30" s="142" customFormat="1" ht="21.75" customHeight="1">
      <c r="A22" s="156">
        <v>16</v>
      </c>
      <c r="B22" s="149" t="s">
        <v>976</v>
      </c>
      <c r="C22" s="149"/>
      <c r="D22" s="149"/>
      <c r="E22" s="149" t="s">
        <v>150</v>
      </c>
      <c r="F22" s="158">
        <v>0</v>
      </c>
      <c r="G22" s="158">
        <v>5.203</v>
      </c>
      <c r="H22" s="158">
        <f t="shared" si="0"/>
        <v>5.203</v>
      </c>
      <c r="I22" s="160">
        <v>0</v>
      </c>
      <c r="J22" s="160">
        <v>0</v>
      </c>
      <c r="K22" s="149">
        <v>250</v>
      </c>
      <c r="L22" s="149">
        <v>1</v>
      </c>
      <c r="M22" s="156">
        <f t="shared" si="1"/>
        <v>250</v>
      </c>
      <c r="N22" s="156">
        <f t="shared" si="1"/>
        <v>1</v>
      </c>
      <c r="O22" s="149">
        <v>3</v>
      </c>
      <c r="P22" s="149">
        <v>3</v>
      </c>
      <c r="Q22" s="149">
        <v>0</v>
      </c>
      <c r="R22" s="149">
        <v>0</v>
      </c>
      <c r="S22" s="149">
        <v>0</v>
      </c>
      <c r="T22" s="156">
        <f t="shared" si="2"/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149">
        <v>0</v>
      </c>
      <c r="AA22" s="197">
        <v>2</v>
      </c>
      <c r="AB22" s="197">
        <v>0</v>
      </c>
      <c r="AC22" s="198">
        <v>18.1495</v>
      </c>
      <c r="AD22" s="199">
        <v>0</v>
      </c>
    </row>
    <row r="23" spans="1:30" s="142" customFormat="1" ht="21.75" customHeight="1">
      <c r="A23" s="156">
        <v>17</v>
      </c>
      <c r="B23" s="149" t="s">
        <v>977</v>
      </c>
      <c r="C23" s="149"/>
      <c r="D23" s="149"/>
      <c r="E23" s="149" t="s">
        <v>150</v>
      </c>
      <c r="F23" s="158">
        <v>0</v>
      </c>
      <c r="G23" s="158">
        <v>1.652</v>
      </c>
      <c r="H23" s="158">
        <f t="shared" si="0"/>
        <v>1.652</v>
      </c>
      <c r="I23" s="160">
        <v>0</v>
      </c>
      <c r="J23" s="160">
        <v>0</v>
      </c>
      <c r="K23" s="149">
        <v>2805</v>
      </c>
      <c r="L23" s="149">
        <v>5</v>
      </c>
      <c r="M23" s="156">
        <f t="shared" si="1"/>
        <v>2805</v>
      </c>
      <c r="N23" s="156">
        <f t="shared" si="1"/>
        <v>5</v>
      </c>
      <c r="O23" s="149">
        <v>6</v>
      </c>
      <c r="P23" s="149">
        <v>6</v>
      </c>
      <c r="Q23" s="149">
        <v>0</v>
      </c>
      <c r="R23" s="149">
        <v>2</v>
      </c>
      <c r="S23" s="149">
        <v>0</v>
      </c>
      <c r="T23" s="156">
        <f t="shared" si="2"/>
        <v>2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97">
        <v>2</v>
      </c>
      <c r="AB23" s="197">
        <v>0</v>
      </c>
      <c r="AC23" s="198">
        <v>246.66</v>
      </c>
      <c r="AD23" s="199">
        <v>0</v>
      </c>
    </row>
    <row r="24" spans="1:32" s="142" customFormat="1" ht="21.75" customHeight="1">
      <c r="A24" s="156">
        <v>18</v>
      </c>
      <c r="B24" s="156" t="s">
        <v>978</v>
      </c>
      <c r="C24" s="156"/>
      <c r="D24" s="156" t="s">
        <v>150</v>
      </c>
      <c r="E24" s="156"/>
      <c r="F24" s="157">
        <v>62.398</v>
      </c>
      <c r="G24" s="157">
        <v>14.058</v>
      </c>
      <c r="H24" s="158">
        <f t="shared" si="0"/>
        <v>76.456</v>
      </c>
      <c r="I24" s="159">
        <v>4591</v>
      </c>
      <c r="J24" s="159">
        <v>54</v>
      </c>
      <c r="K24" s="156">
        <v>4573</v>
      </c>
      <c r="L24" s="156">
        <v>29</v>
      </c>
      <c r="M24" s="156">
        <f t="shared" si="1"/>
        <v>9164</v>
      </c>
      <c r="N24" s="156">
        <f t="shared" si="1"/>
        <v>83</v>
      </c>
      <c r="O24" s="156">
        <v>312</v>
      </c>
      <c r="P24" s="156">
        <v>234</v>
      </c>
      <c r="Q24" s="156">
        <v>0</v>
      </c>
      <c r="R24" s="156">
        <v>12</v>
      </c>
      <c r="S24" s="156">
        <v>0</v>
      </c>
      <c r="T24" s="156">
        <f t="shared" si="2"/>
        <v>12</v>
      </c>
      <c r="U24" s="149">
        <v>0</v>
      </c>
      <c r="V24" s="149">
        <v>0</v>
      </c>
      <c r="W24" s="156">
        <v>6603</v>
      </c>
      <c r="X24" s="156">
        <v>205</v>
      </c>
      <c r="Y24" s="156">
        <v>8</v>
      </c>
      <c r="Z24" s="156">
        <v>9</v>
      </c>
      <c r="AA24" s="156">
        <v>90</v>
      </c>
      <c r="AB24" s="156">
        <v>27</v>
      </c>
      <c r="AC24" s="195">
        <v>813.3089</v>
      </c>
      <c r="AD24" s="194">
        <v>5.62</v>
      </c>
      <c r="AE24" s="200"/>
      <c r="AF24" s="200"/>
    </row>
    <row r="25" spans="1:32" s="142" customFormat="1" ht="21.75" customHeight="1">
      <c r="A25" s="156">
        <v>19</v>
      </c>
      <c r="B25" s="156" t="s">
        <v>979</v>
      </c>
      <c r="C25" s="156"/>
      <c r="D25" s="156" t="s">
        <v>150</v>
      </c>
      <c r="E25" s="156"/>
      <c r="F25" s="157">
        <v>70.012</v>
      </c>
      <c r="G25" s="157">
        <v>9.29</v>
      </c>
      <c r="H25" s="158">
        <f t="shared" si="0"/>
        <v>79.30199999999999</v>
      </c>
      <c r="I25" s="159">
        <v>6593</v>
      </c>
      <c r="J25" s="159">
        <v>63</v>
      </c>
      <c r="K25" s="156">
        <v>5200</v>
      </c>
      <c r="L25" s="156">
        <v>42</v>
      </c>
      <c r="M25" s="156">
        <f t="shared" si="1"/>
        <v>11793</v>
      </c>
      <c r="N25" s="156">
        <f t="shared" si="1"/>
        <v>105</v>
      </c>
      <c r="O25" s="156">
        <v>384</v>
      </c>
      <c r="P25" s="156">
        <v>279</v>
      </c>
      <c r="Q25" s="156">
        <v>0</v>
      </c>
      <c r="R25" s="156">
        <v>13</v>
      </c>
      <c r="S25" s="156">
        <v>0</v>
      </c>
      <c r="T25" s="156">
        <f t="shared" si="2"/>
        <v>13</v>
      </c>
      <c r="U25" s="149">
        <v>0</v>
      </c>
      <c r="V25" s="149">
        <v>0</v>
      </c>
      <c r="W25" s="156">
        <v>7402</v>
      </c>
      <c r="X25" s="156">
        <v>496</v>
      </c>
      <c r="Y25" s="156">
        <v>17</v>
      </c>
      <c r="Z25" s="156">
        <v>8</v>
      </c>
      <c r="AA25" s="156">
        <v>177</v>
      </c>
      <c r="AB25" s="156">
        <v>24</v>
      </c>
      <c r="AC25" s="195">
        <v>1355.7128</v>
      </c>
      <c r="AD25" s="194">
        <v>5.95</v>
      </c>
      <c r="AE25" s="200"/>
      <c r="AF25" s="200"/>
    </row>
    <row r="26" spans="1:32" s="142" customFormat="1" ht="21.75" customHeight="1">
      <c r="A26" s="156">
        <v>20</v>
      </c>
      <c r="B26" s="156" t="s">
        <v>980</v>
      </c>
      <c r="C26" s="156"/>
      <c r="D26" s="156" t="s">
        <v>150</v>
      </c>
      <c r="E26" s="156"/>
      <c r="F26" s="157">
        <v>0.85</v>
      </c>
      <c r="G26" s="157">
        <v>0</v>
      </c>
      <c r="H26" s="158">
        <f t="shared" si="0"/>
        <v>0.85</v>
      </c>
      <c r="I26" s="159">
        <v>0</v>
      </c>
      <c r="J26" s="159">
        <v>0</v>
      </c>
      <c r="K26" s="156">
        <v>500</v>
      </c>
      <c r="L26" s="156">
        <v>1</v>
      </c>
      <c r="M26" s="156">
        <f t="shared" si="1"/>
        <v>500</v>
      </c>
      <c r="N26" s="156">
        <f t="shared" si="1"/>
        <v>1</v>
      </c>
      <c r="O26" s="156">
        <v>3</v>
      </c>
      <c r="P26" s="156">
        <v>3</v>
      </c>
      <c r="Q26" s="156">
        <v>0</v>
      </c>
      <c r="R26" s="156">
        <v>1</v>
      </c>
      <c r="S26" s="156">
        <v>0</v>
      </c>
      <c r="T26" s="156">
        <f t="shared" si="2"/>
        <v>1</v>
      </c>
      <c r="U26" s="149">
        <v>0</v>
      </c>
      <c r="V26" s="149">
        <v>0</v>
      </c>
      <c r="W26" s="156">
        <v>0</v>
      </c>
      <c r="X26" s="156">
        <v>0</v>
      </c>
      <c r="Y26" s="156">
        <v>0</v>
      </c>
      <c r="Z26" s="156">
        <v>1</v>
      </c>
      <c r="AA26" s="156">
        <v>0</v>
      </c>
      <c r="AB26" s="156">
        <v>0</v>
      </c>
      <c r="AC26" s="195">
        <v>42.368</v>
      </c>
      <c r="AD26" s="194">
        <v>0</v>
      </c>
      <c r="AE26" s="200"/>
      <c r="AF26" s="200"/>
    </row>
    <row r="27" spans="1:32" s="142" customFormat="1" ht="21.75" customHeight="1">
      <c r="A27" s="156">
        <v>21</v>
      </c>
      <c r="B27" s="156" t="s">
        <v>981</v>
      </c>
      <c r="C27" s="156"/>
      <c r="D27" s="156" t="s">
        <v>150</v>
      </c>
      <c r="E27" s="156"/>
      <c r="F27" s="157">
        <v>0</v>
      </c>
      <c r="G27" s="157">
        <v>1.2</v>
      </c>
      <c r="H27" s="158">
        <f t="shared" si="0"/>
        <v>1.2</v>
      </c>
      <c r="I27" s="159">
        <v>0</v>
      </c>
      <c r="J27" s="159">
        <v>0</v>
      </c>
      <c r="K27" s="156">
        <v>365</v>
      </c>
      <c r="L27" s="156">
        <v>2</v>
      </c>
      <c r="M27" s="156">
        <f t="shared" si="1"/>
        <v>365</v>
      </c>
      <c r="N27" s="156">
        <f t="shared" si="1"/>
        <v>2</v>
      </c>
      <c r="O27" s="156">
        <v>6</v>
      </c>
      <c r="P27" s="156">
        <v>6</v>
      </c>
      <c r="Q27" s="156">
        <v>0</v>
      </c>
      <c r="R27" s="156">
        <v>1</v>
      </c>
      <c r="S27" s="156">
        <v>0</v>
      </c>
      <c r="T27" s="156">
        <f t="shared" si="2"/>
        <v>1</v>
      </c>
      <c r="U27" s="149">
        <v>0</v>
      </c>
      <c r="V27" s="149">
        <v>0</v>
      </c>
      <c r="W27" s="156">
        <v>0</v>
      </c>
      <c r="X27" s="156">
        <v>0</v>
      </c>
      <c r="Y27" s="156">
        <v>0</v>
      </c>
      <c r="Z27" s="156">
        <v>1</v>
      </c>
      <c r="AA27" s="149">
        <v>0</v>
      </c>
      <c r="AB27" s="149">
        <v>0</v>
      </c>
      <c r="AC27" s="193">
        <v>0</v>
      </c>
      <c r="AD27" s="194">
        <v>0</v>
      </c>
      <c r="AE27" s="200"/>
      <c r="AF27" s="200"/>
    </row>
    <row r="28" spans="1:30" s="143" customFormat="1" ht="21.75" customHeight="1">
      <c r="A28" s="159">
        <v>22</v>
      </c>
      <c r="B28" s="160" t="s">
        <v>982</v>
      </c>
      <c r="C28" s="160"/>
      <c r="D28" s="160" t="s">
        <v>150</v>
      </c>
      <c r="E28" s="160"/>
      <c r="F28" s="160">
        <v>109.017</v>
      </c>
      <c r="G28" s="160">
        <v>5.124</v>
      </c>
      <c r="H28" s="161">
        <f t="shared" si="0"/>
        <v>114.14099999999999</v>
      </c>
      <c r="I28" s="160">
        <v>5783</v>
      </c>
      <c r="J28" s="160">
        <v>66</v>
      </c>
      <c r="K28" s="160">
        <v>1765</v>
      </c>
      <c r="L28" s="160">
        <v>23</v>
      </c>
      <c r="M28" s="159">
        <f t="shared" si="1"/>
        <v>7548</v>
      </c>
      <c r="N28" s="159">
        <f t="shared" si="1"/>
        <v>89</v>
      </c>
      <c r="O28" s="160">
        <v>348</v>
      </c>
      <c r="P28" s="160">
        <v>276</v>
      </c>
      <c r="Q28" s="160">
        <v>0</v>
      </c>
      <c r="R28" s="160">
        <v>5</v>
      </c>
      <c r="S28" s="160">
        <v>0</v>
      </c>
      <c r="T28" s="159">
        <f t="shared" si="2"/>
        <v>5</v>
      </c>
      <c r="U28" s="160">
        <v>0</v>
      </c>
      <c r="V28" s="160">
        <v>0</v>
      </c>
      <c r="W28" s="160">
        <v>7620</v>
      </c>
      <c r="X28" s="160">
        <v>84</v>
      </c>
      <c r="Y28" s="160">
        <v>6</v>
      </c>
      <c r="Z28" s="160">
        <v>0</v>
      </c>
      <c r="AA28" s="160">
        <v>0</v>
      </c>
      <c r="AB28" s="160">
        <v>108</v>
      </c>
      <c r="AC28" s="191">
        <v>1067.5664</v>
      </c>
      <c r="AD28" s="192">
        <v>10.65</v>
      </c>
    </row>
    <row r="29" spans="1:30" s="143" customFormat="1" ht="21.75" customHeight="1">
      <c r="A29" s="159">
        <v>23</v>
      </c>
      <c r="B29" s="160" t="s">
        <v>983</v>
      </c>
      <c r="C29" s="160"/>
      <c r="D29" s="160" t="s">
        <v>150</v>
      </c>
      <c r="E29" s="160"/>
      <c r="F29" s="162">
        <v>16.1</v>
      </c>
      <c r="G29" s="160">
        <v>0.589</v>
      </c>
      <c r="H29" s="161">
        <f t="shared" si="0"/>
        <v>16.689</v>
      </c>
      <c r="I29" s="160">
        <v>0</v>
      </c>
      <c r="J29" s="160">
        <v>0</v>
      </c>
      <c r="K29" s="160">
        <v>2498</v>
      </c>
      <c r="L29" s="160">
        <v>11</v>
      </c>
      <c r="M29" s="159">
        <f t="shared" si="1"/>
        <v>2498</v>
      </c>
      <c r="N29" s="159">
        <f t="shared" si="1"/>
        <v>11</v>
      </c>
      <c r="O29" s="160">
        <v>48</v>
      </c>
      <c r="P29" s="160">
        <v>51</v>
      </c>
      <c r="Q29" s="160">
        <v>0</v>
      </c>
      <c r="R29" s="160">
        <v>6</v>
      </c>
      <c r="S29" s="160">
        <v>0</v>
      </c>
      <c r="T29" s="159">
        <f t="shared" si="2"/>
        <v>6</v>
      </c>
      <c r="U29" s="160">
        <v>0</v>
      </c>
      <c r="V29" s="160">
        <v>0</v>
      </c>
      <c r="W29" s="160">
        <v>0</v>
      </c>
      <c r="X29" s="160">
        <v>3</v>
      </c>
      <c r="Y29" s="160">
        <v>2</v>
      </c>
      <c r="Z29" s="160">
        <v>6</v>
      </c>
      <c r="AA29" s="160">
        <v>0</v>
      </c>
      <c r="AB29" s="160">
        <v>12</v>
      </c>
      <c r="AC29" s="191">
        <v>317.7529</v>
      </c>
      <c r="AD29" s="192">
        <v>7.35</v>
      </c>
    </row>
    <row r="30" spans="1:30" s="142" customFormat="1" ht="21.75" customHeight="1">
      <c r="A30" s="156">
        <v>24</v>
      </c>
      <c r="B30" s="163" t="s">
        <v>984</v>
      </c>
      <c r="C30" s="156"/>
      <c r="D30" s="156" t="s">
        <v>150</v>
      </c>
      <c r="E30" s="156"/>
      <c r="F30" s="157">
        <v>8.2</v>
      </c>
      <c r="G30" s="157">
        <v>2.328</v>
      </c>
      <c r="H30" s="158">
        <f t="shared" si="0"/>
        <v>10.527999999999999</v>
      </c>
      <c r="I30" s="160">
        <v>355</v>
      </c>
      <c r="J30" s="159">
        <v>4</v>
      </c>
      <c r="K30" s="156">
        <v>2730</v>
      </c>
      <c r="L30" s="159">
        <v>7</v>
      </c>
      <c r="M30" s="156">
        <f t="shared" si="1"/>
        <v>3085</v>
      </c>
      <c r="N30" s="156">
        <f t="shared" si="1"/>
        <v>11</v>
      </c>
      <c r="O30" s="156">
        <v>30</v>
      </c>
      <c r="P30" s="156">
        <v>33</v>
      </c>
      <c r="Q30" s="156">
        <v>0</v>
      </c>
      <c r="R30" s="160">
        <v>4</v>
      </c>
      <c r="S30" s="149">
        <v>0</v>
      </c>
      <c r="T30" s="156">
        <f t="shared" si="2"/>
        <v>4</v>
      </c>
      <c r="U30" s="156">
        <v>2550</v>
      </c>
      <c r="V30" s="156">
        <v>85</v>
      </c>
      <c r="W30" s="156">
        <v>398</v>
      </c>
      <c r="X30" s="156">
        <v>24</v>
      </c>
      <c r="Y30" s="156">
        <v>2</v>
      </c>
      <c r="Z30" s="156">
        <v>3</v>
      </c>
      <c r="AA30" s="156">
        <v>12</v>
      </c>
      <c r="AB30" s="149">
        <v>0</v>
      </c>
      <c r="AC30" s="195">
        <v>624.5866</v>
      </c>
      <c r="AD30" s="190">
        <v>-1.26</v>
      </c>
    </row>
    <row r="31" spans="1:30" s="142" customFormat="1" ht="21.75" customHeight="1">
      <c r="A31" s="156">
        <v>25</v>
      </c>
      <c r="B31" s="164" t="s">
        <v>985</v>
      </c>
      <c r="C31" s="149"/>
      <c r="D31" s="156" t="s">
        <v>150</v>
      </c>
      <c r="E31" s="156"/>
      <c r="F31" s="158">
        <v>3.982</v>
      </c>
      <c r="G31" s="158">
        <v>0.54</v>
      </c>
      <c r="H31" s="158">
        <f t="shared" si="0"/>
        <v>4.522</v>
      </c>
      <c r="I31" s="160">
        <v>0</v>
      </c>
      <c r="J31" s="160">
        <v>0</v>
      </c>
      <c r="K31" s="149">
        <v>6320</v>
      </c>
      <c r="L31" s="149">
        <v>10</v>
      </c>
      <c r="M31" s="156">
        <f t="shared" si="1"/>
        <v>6320</v>
      </c>
      <c r="N31" s="156">
        <f t="shared" si="1"/>
        <v>10</v>
      </c>
      <c r="O31" s="149">
        <v>33</v>
      </c>
      <c r="P31" s="149">
        <v>24</v>
      </c>
      <c r="Q31" s="156">
        <v>0</v>
      </c>
      <c r="R31" s="160">
        <v>7</v>
      </c>
      <c r="S31" s="149">
        <v>0</v>
      </c>
      <c r="T31" s="156">
        <f t="shared" si="2"/>
        <v>7</v>
      </c>
      <c r="U31" s="149">
        <v>3792</v>
      </c>
      <c r="V31" s="149">
        <v>120</v>
      </c>
      <c r="W31" s="149">
        <v>0</v>
      </c>
      <c r="X31" s="149">
        <v>0</v>
      </c>
      <c r="Y31" s="149">
        <v>0</v>
      </c>
      <c r="Z31" s="149">
        <v>10</v>
      </c>
      <c r="AA31" s="149">
        <v>0</v>
      </c>
      <c r="AB31" s="149">
        <v>0</v>
      </c>
      <c r="AC31" s="193">
        <v>951.3845</v>
      </c>
      <c r="AD31" s="192">
        <v>0</v>
      </c>
    </row>
    <row r="32" spans="1:30" s="142" customFormat="1" ht="21.75" customHeight="1">
      <c r="A32" s="156">
        <v>26</v>
      </c>
      <c r="B32" s="164" t="s">
        <v>986</v>
      </c>
      <c r="C32" s="149"/>
      <c r="D32" s="156" t="s">
        <v>150</v>
      </c>
      <c r="E32" s="149"/>
      <c r="F32" s="158">
        <v>30.867</v>
      </c>
      <c r="G32" s="158">
        <v>1.275</v>
      </c>
      <c r="H32" s="158">
        <f t="shared" si="0"/>
        <v>32.142</v>
      </c>
      <c r="I32" s="160">
        <v>4523</v>
      </c>
      <c r="J32" s="160">
        <v>36</v>
      </c>
      <c r="K32" s="149">
        <v>630</v>
      </c>
      <c r="L32" s="149">
        <v>7</v>
      </c>
      <c r="M32" s="156">
        <f t="shared" si="1"/>
        <v>5153</v>
      </c>
      <c r="N32" s="156">
        <f t="shared" si="1"/>
        <v>43</v>
      </c>
      <c r="O32" s="149">
        <v>114</v>
      </c>
      <c r="P32" s="149">
        <v>96</v>
      </c>
      <c r="Q32" s="156">
        <v>0</v>
      </c>
      <c r="R32" s="160">
        <v>2</v>
      </c>
      <c r="S32" s="149">
        <v>0</v>
      </c>
      <c r="T32" s="156">
        <f t="shared" si="2"/>
        <v>2</v>
      </c>
      <c r="U32" s="149">
        <v>300</v>
      </c>
      <c r="V32" s="149">
        <v>10</v>
      </c>
      <c r="W32" s="149">
        <v>4980</v>
      </c>
      <c r="X32" s="149">
        <v>262</v>
      </c>
      <c r="Y32" s="149">
        <v>1</v>
      </c>
      <c r="Z32" s="149">
        <v>0</v>
      </c>
      <c r="AA32" s="149">
        <v>27</v>
      </c>
      <c r="AB32" s="149">
        <v>0</v>
      </c>
      <c r="AC32" s="193">
        <v>552.3973</v>
      </c>
      <c r="AD32" s="192">
        <v>3.78</v>
      </c>
    </row>
    <row r="33" spans="1:30" s="142" customFormat="1" ht="21.75" customHeight="1">
      <c r="A33" s="156">
        <v>27</v>
      </c>
      <c r="B33" s="164" t="s">
        <v>987</v>
      </c>
      <c r="C33" s="149"/>
      <c r="D33" s="156" t="s">
        <v>150</v>
      </c>
      <c r="E33" s="149"/>
      <c r="F33" s="158">
        <v>93.804</v>
      </c>
      <c r="G33" s="158">
        <v>10.208</v>
      </c>
      <c r="H33" s="158">
        <f t="shared" si="0"/>
        <v>104.012</v>
      </c>
      <c r="I33" s="160">
        <v>7164</v>
      </c>
      <c r="J33" s="160">
        <v>72</v>
      </c>
      <c r="K33" s="149">
        <v>9416</v>
      </c>
      <c r="L33" s="149">
        <v>58</v>
      </c>
      <c r="M33" s="156">
        <f t="shared" si="1"/>
        <v>16580</v>
      </c>
      <c r="N33" s="156">
        <f t="shared" si="1"/>
        <v>130</v>
      </c>
      <c r="O33" s="149">
        <v>486</v>
      </c>
      <c r="P33" s="149">
        <v>405</v>
      </c>
      <c r="Q33" s="156">
        <v>0</v>
      </c>
      <c r="R33" s="160">
        <v>24</v>
      </c>
      <c r="S33" s="149">
        <v>0</v>
      </c>
      <c r="T33" s="156">
        <f t="shared" si="2"/>
        <v>24</v>
      </c>
      <c r="U33" s="149">
        <v>2208</v>
      </c>
      <c r="V33" s="149">
        <v>146</v>
      </c>
      <c r="W33" s="149">
        <v>10815</v>
      </c>
      <c r="X33" s="149">
        <v>785</v>
      </c>
      <c r="Y33" s="149">
        <v>8</v>
      </c>
      <c r="Z33" s="149">
        <v>14</v>
      </c>
      <c r="AA33" s="149">
        <v>159</v>
      </c>
      <c r="AB33" s="149">
        <v>0</v>
      </c>
      <c r="AC33" s="193">
        <v>1820.3201</v>
      </c>
      <c r="AD33" s="192">
        <v>4.45</v>
      </c>
    </row>
    <row r="34" spans="1:31" s="142" customFormat="1" ht="21.75" customHeight="1">
      <c r="A34" s="156">
        <v>28</v>
      </c>
      <c r="B34" s="149" t="s">
        <v>988</v>
      </c>
      <c r="C34" s="165"/>
      <c r="D34" s="149"/>
      <c r="E34" s="149" t="s">
        <v>150</v>
      </c>
      <c r="F34" s="158">
        <v>0</v>
      </c>
      <c r="G34" s="158">
        <v>2.23</v>
      </c>
      <c r="H34" s="158">
        <f t="shared" si="0"/>
        <v>2.23</v>
      </c>
      <c r="I34" s="160">
        <v>0</v>
      </c>
      <c r="J34" s="160">
        <v>0</v>
      </c>
      <c r="K34" s="149">
        <v>1250</v>
      </c>
      <c r="L34" s="149">
        <v>2</v>
      </c>
      <c r="M34" s="156">
        <f t="shared" si="1"/>
        <v>1250</v>
      </c>
      <c r="N34" s="156">
        <f t="shared" si="1"/>
        <v>2</v>
      </c>
      <c r="O34" s="149">
        <v>3</v>
      </c>
      <c r="P34" s="149">
        <v>3</v>
      </c>
      <c r="Q34" s="156">
        <v>0</v>
      </c>
      <c r="R34" s="149">
        <v>2</v>
      </c>
      <c r="S34" s="149">
        <v>0</v>
      </c>
      <c r="T34" s="156">
        <f t="shared" si="2"/>
        <v>2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2</v>
      </c>
      <c r="AB34" s="149">
        <v>0</v>
      </c>
      <c r="AC34" s="193">
        <v>0</v>
      </c>
      <c r="AD34" s="194">
        <v>0</v>
      </c>
      <c r="AE34" s="200"/>
    </row>
    <row r="35" spans="1:30" s="142" customFormat="1" ht="21.75" customHeight="1">
      <c r="A35" s="166" t="s">
        <v>122</v>
      </c>
      <c r="B35" s="167"/>
      <c r="C35" s="149"/>
      <c r="D35" s="149"/>
      <c r="E35" s="149"/>
      <c r="F35" s="158">
        <f>SUM(F7:F34)</f>
        <v>924.827</v>
      </c>
      <c r="G35" s="158">
        <f aca="true" t="shared" si="3" ref="G35:AC35">SUM(G7:G34)</f>
        <v>142.63599999999997</v>
      </c>
      <c r="H35" s="158">
        <f t="shared" si="3"/>
        <v>1067.4630000000002</v>
      </c>
      <c r="I35" s="160">
        <f t="shared" si="3"/>
        <v>66150</v>
      </c>
      <c r="J35" s="160">
        <f t="shared" si="3"/>
        <v>651</v>
      </c>
      <c r="K35" s="149">
        <f t="shared" si="3"/>
        <v>77021</v>
      </c>
      <c r="L35" s="149">
        <f t="shared" si="3"/>
        <v>387</v>
      </c>
      <c r="M35" s="149">
        <f t="shared" si="3"/>
        <v>143171</v>
      </c>
      <c r="N35" s="149">
        <f t="shared" si="3"/>
        <v>1038</v>
      </c>
      <c r="O35" s="149">
        <f t="shared" si="3"/>
        <v>3681</v>
      </c>
      <c r="P35" s="149">
        <f t="shared" si="3"/>
        <v>2913</v>
      </c>
      <c r="Q35" s="149">
        <f t="shared" si="3"/>
        <v>0</v>
      </c>
      <c r="R35" s="149">
        <f t="shared" si="3"/>
        <v>144</v>
      </c>
      <c r="S35" s="149">
        <f t="shared" si="3"/>
        <v>4</v>
      </c>
      <c r="T35" s="149">
        <f t="shared" si="3"/>
        <v>148</v>
      </c>
      <c r="U35" s="149">
        <f t="shared" si="3"/>
        <v>8850</v>
      </c>
      <c r="V35" s="149">
        <f t="shared" si="3"/>
        <v>361</v>
      </c>
      <c r="W35" s="149">
        <f t="shared" si="3"/>
        <v>51231</v>
      </c>
      <c r="X35" s="149">
        <f t="shared" si="3"/>
        <v>2521</v>
      </c>
      <c r="Y35" s="149">
        <f t="shared" si="3"/>
        <v>64</v>
      </c>
      <c r="Z35" s="149">
        <f t="shared" si="3"/>
        <v>83</v>
      </c>
      <c r="AA35" s="149">
        <f t="shared" si="3"/>
        <v>859</v>
      </c>
      <c r="AB35" s="149">
        <f t="shared" si="3"/>
        <v>188</v>
      </c>
      <c r="AC35" s="193">
        <f t="shared" si="3"/>
        <v>16227.951999999997</v>
      </c>
      <c r="AD35" s="194">
        <v>5.61</v>
      </c>
    </row>
    <row r="36" spans="1:30" s="142" customFormat="1" ht="21.75" customHeight="1">
      <c r="A36" s="149" t="s">
        <v>209</v>
      </c>
      <c r="B36" s="149"/>
      <c r="C36" s="168">
        <v>4</v>
      </c>
      <c r="D36" s="168">
        <v>23</v>
      </c>
      <c r="E36" s="168">
        <v>7</v>
      </c>
      <c r="F36" s="169">
        <f>F35</f>
        <v>924.827</v>
      </c>
      <c r="G36" s="169">
        <f aca="true" t="shared" si="4" ref="G36:AD36">G35</f>
        <v>142.63599999999997</v>
      </c>
      <c r="H36" s="158">
        <f t="shared" si="4"/>
        <v>1067.4630000000002</v>
      </c>
      <c r="I36" s="179">
        <f t="shared" si="4"/>
        <v>66150</v>
      </c>
      <c r="J36" s="179">
        <f t="shared" si="4"/>
        <v>651</v>
      </c>
      <c r="K36" s="168">
        <f t="shared" si="4"/>
        <v>77021</v>
      </c>
      <c r="L36" s="168">
        <f t="shared" si="4"/>
        <v>387</v>
      </c>
      <c r="M36" s="168">
        <f t="shared" si="4"/>
        <v>143171</v>
      </c>
      <c r="N36" s="168">
        <f t="shared" si="4"/>
        <v>1038</v>
      </c>
      <c r="O36" s="168">
        <f t="shared" si="4"/>
        <v>3681</v>
      </c>
      <c r="P36" s="168">
        <f t="shared" si="4"/>
        <v>2913</v>
      </c>
      <c r="Q36" s="168">
        <f t="shared" si="4"/>
        <v>0</v>
      </c>
      <c r="R36" s="168">
        <f t="shared" si="4"/>
        <v>144</v>
      </c>
      <c r="S36" s="168">
        <f t="shared" si="4"/>
        <v>4</v>
      </c>
      <c r="T36" s="168">
        <f t="shared" si="4"/>
        <v>148</v>
      </c>
      <c r="U36" s="168">
        <f t="shared" si="4"/>
        <v>8850</v>
      </c>
      <c r="V36" s="168">
        <f t="shared" si="4"/>
        <v>361</v>
      </c>
      <c r="W36" s="168">
        <f t="shared" si="4"/>
        <v>51231</v>
      </c>
      <c r="X36" s="168">
        <f t="shared" si="4"/>
        <v>2521</v>
      </c>
      <c r="Y36" s="168">
        <f t="shared" si="4"/>
        <v>64</v>
      </c>
      <c r="Z36" s="168">
        <f t="shared" si="4"/>
        <v>83</v>
      </c>
      <c r="AA36" s="168">
        <f t="shared" si="4"/>
        <v>859</v>
      </c>
      <c r="AB36" s="168">
        <f t="shared" si="4"/>
        <v>188</v>
      </c>
      <c r="AC36" s="201">
        <f t="shared" si="4"/>
        <v>16227.951999999997</v>
      </c>
      <c r="AD36" s="194">
        <f t="shared" si="4"/>
        <v>5.61</v>
      </c>
    </row>
    <row r="37" spans="1:31" ht="19.5" customHeight="1">
      <c r="A37" s="141"/>
      <c r="B37" s="170" t="s">
        <v>210</v>
      </c>
      <c r="C37" s="171"/>
      <c r="D37" s="171"/>
      <c r="E37" s="171"/>
      <c r="F37" s="171"/>
      <c r="G37" s="171"/>
      <c r="H37" s="171"/>
      <c r="I37" s="180"/>
      <c r="J37" s="180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41"/>
    </row>
    <row r="38" spans="1:30" ht="5.25" customHeight="1" hidden="1">
      <c r="A38" s="172"/>
      <c r="B38" s="173"/>
      <c r="C38" s="174"/>
      <c r="D38" s="174"/>
      <c r="E38" s="174"/>
      <c r="F38" s="174"/>
      <c r="G38" s="174"/>
      <c r="H38" s="174"/>
      <c r="I38" s="181"/>
      <c r="J38" s="181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202"/>
    </row>
    <row r="39" spans="4:26" ht="15" customHeight="1">
      <c r="D39" s="144" t="s">
        <v>176</v>
      </c>
      <c r="O39" s="144" t="s">
        <v>177</v>
      </c>
      <c r="Z39" s="144" t="s">
        <v>211</v>
      </c>
    </row>
    <row r="40" ht="21.75" customHeight="1"/>
    <row r="41" spans="4:5" ht="21.75" customHeight="1">
      <c r="D41" s="175"/>
      <c r="E41" s="175"/>
    </row>
    <row r="42" spans="4:15" ht="21.75" customHeight="1">
      <c r="D42" s="175"/>
      <c r="E42" s="175"/>
      <c r="F42" s="176"/>
      <c r="G42" s="176"/>
      <c r="H42" s="176"/>
      <c r="I42" s="182"/>
      <c r="J42" s="183"/>
      <c r="K42" s="184"/>
      <c r="L42" s="184"/>
      <c r="M42" s="184"/>
      <c r="N42" s="184"/>
      <c r="O42" s="176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22">
    <mergeCell ref="A1:AD1"/>
    <mergeCell ref="C3:E3"/>
    <mergeCell ref="F3:H3"/>
    <mergeCell ref="I3:N3"/>
    <mergeCell ref="Q3:T3"/>
    <mergeCell ref="U3:V3"/>
    <mergeCell ref="W3:Y3"/>
    <mergeCell ref="AA3:AB3"/>
    <mergeCell ref="A35:B35"/>
    <mergeCell ref="A36:B36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 scale="86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6"/>
  </sheetPr>
  <dimension ref="A1:AD42"/>
  <sheetViews>
    <sheetView zoomScale="90" zoomScaleNormal="90" workbookViewId="0" topLeftCell="A25">
      <selection activeCell="A1" sqref="A1:AD1"/>
    </sheetView>
  </sheetViews>
  <sheetFormatPr defaultColWidth="9.00390625" defaultRowHeight="14.25"/>
  <cols>
    <col min="1" max="1" width="2.75390625" style="88" customWidth="1"/>
    <col min="2" max="2" width="20.375" style="88" customWidth="1"/>
    <col min="3" max="5" width="3.375" style="88" customWidth="1"/>
    <col min="6" max="6" width="10.375" style="88" customWidth="1"/>
    <col min="7" max="7" width="8.25390625" style="88" customWidth="1"/>
    <col min="8" max="8" width="9.625" style="88" customWidth="1"/>
    <col min="9" max="9" width="7.375" style="89" customWidth="1"/>
    <col min="10" max="10" width="5.75390625" style="88" customWidth="1"/>
    <col min="11" max="11" width="6.625" style="88" customWidth="1"/>
    <col min="12" max="12" width="5.75390625" style="88" customWidth="1"/>
    <col min="13" max="13" width="8.125" style="88" customWidth="1"/>
    <col min="14" max="14" width="6.75390625" style="88" customWidth="1"/>
    <col min="15" max="16" width="6.375" style="88" customWidth="1"/>
    <col min="17" max="20" width="4.125" style="88" customWidth="1"/>
    <col min="21" max="22" width="7.50390625" style="88" customWidth="1"/>
    <col min="23" max="23" width="5.125" style="88" customWidth="1"/>
    <col min="24" max="26" width="5.75390625" style="88" customWidth="1"/>
    <col min="27" max="27" width="6.00390625" style="88" customWidth="1"/>
    <col min="28" max="28" width="4.75390625" style="88" customWidth="1"/>
    <col min="29" max="29" width="10.375" style="88" customWidth="1"/>
    <col min="30" max="30" width="7.625" style="88" customWidth="1"/>
    <col min="31" max="16384" width="9.00390625" style="88" customWidth="1"/>
  </cols>
  <sheetData>
    <row r="1" spans="1:30" ht="34.5" customHeight="1">
      <c r="A1" s="90" t="str">
        <f>'[1]汇总表'!A1</f>
        <v>2012年度10kV配网运行资产管理年报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24.75" customHeight="1">
      <c r="A2" s="92" t="s">
        <v>98</v>
      </c>
      <c r="B2" s="92"/>
      <c r="C2" s="93"/>
      <c r="D2" s="93"/>
      <c r="E2" s="94" t="s">
        <v>989</v>
      </c>
      <c r="F2" s="92"/>
      <c r="G2" s="92"/>
      <c r="H2" s="92"/>
      <c r="I2" s="115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 t="s">
        <v>990</v>
      </c>
      <c r="W2" s="92"/>
      <c r="X2" s="92"/>
      <c r="Y2" s="92"/>
      <c r="Z2" s="93"/>
      <c r="AA2" s="92" t="s">
        <v>239</v>
      </c>
      <c r="AB2" s="92"/>
      <c r="AC2" s="92"/>
      <c r="AD2" s="93"/>
    </row>
    <row r="3" spans="1:30" ht="16.5" customHeight="1">
      <c r="A3" s="95" t="s">
        <v>102</v>
      </c>
      <c r="B3" s="96" t="s">
        <v>103</v>
      </c>
      <c r="C3" s="97" t="s">
        <v>104</v>
      </c>
      <c r="D3" s="97"/>
      <c r="E3" s="97"/>
      <c r="F3" s="98" t="s">
        <v>105</v>
      </c>
      <c r="G3" s="97"/>
      <c r="H3" s="97"/>
      <c r="I3" s="97" t="s">
        <v>106</v>
      </c>
      <c r="J3" s="97"/>
      <c r="K3" s="97"/>
      <c r="L3" s="97"/>
      <c r="M3" s="97"/>
      <c r="N3" s="97"/>
      <c r="O3" s="95" t="s">
        <v>107</v>
      </c>
      <c r="P3" s="95" t="s">
        <v>108</v>
      </c>
      <c r="Q3" s="121" t="s">
        <v>109</v>
      </c>
      <c r="R3" s="122"/>
      <c r="S3" s="122"/>
      <c r="T3" s="98"/>
      <c r="U3" s="97" t="s">
        <v>110</v>
      </c>
      <c r="V3" s="97"/>
      <c r="W3" s="121" t="s">
        <v>111</v>
      </c>
      <c r="X3" s="122"/>
      <c r="Y3" s="98"/>
      <c r="Z3" s="95" t="s">
        <v>112</v>
      </c>
      <c r="AA3" s="97" t="s">
        <v>113</v>
      </c>
      <c r="AB3" s="97"/>
      <c r="AC3" s="95" t="s">
        <v>114</v>
      </c>
      <c r="AD3" s="95" t="s">
        <v>115</v>
      </c>
    </row>
    <row r="4" spans="1:30" ht="16.5" customHeight="1">
      <c r="A4" s="99"/>
      <c r="B4" s="97"/>
      <c r="C4" s="97" t="s">
        <v>116</v>
      </c>
      <c r="D4" s="97" t="s">
        <v>117</v>
      </c>
      <c r="E4" s="97" t="s">
        <v>118</v>
      </c>
      <c r="F4" s="100" t="s">
        <v>119</v>
      </c>
      <c r="G4" s="101"/>
      <c r="H4" s="101"/>
      <c r="I4" s="97" t="s">
        <v>120</v>
      </c>
      <c r="J4" s="97"/>
      <c r="K4" s="97" t="s">
        <v>121</v>
      </c>
      <c r="L4" s="97"/>
      <c r="M4" s="97" t="s">
        <v>122</v>
      </c>
      <c r="N4" s="97"/>
      <c r="O4" s="99"/>
      <c r="P4" s="116" t="s">
        <v>123</v>
      </c>
      <c r="Q4" s="123" t="s">
        <v>140</v>
      </c>
      <c r="R4" s="124" t="s">
        <v>991</v>
      </c>
      <c r="S4" s="95" t="s">
        <v>142</v>
      </c>
      <c r="T4" s="95" t="s">
        <v>122</v>
      </c>
      <c r="U4" s="97" t="s">
        <v>124</v>
      </c>
      <c r="V4" s="97"/>
      <c r="W4" s="95" t="s">
        <v>125</v>
      </c>
      <c r="X4" s="95" t="s">
        <v>126</v>
      </c>
      <c r="Y4" s="95" t="s">
        <v>126</v>
      </c>
      <c r="Z4" s="99" t="s">
        <v>127</v>
      </c>
      <c r="AA4" s="97" t="s">
        <v>128</v>
      </c>
      <c r="AB4" s="97"/>
      <c r="AC4" s="102" t="s">
        <v>129</v>
      </c>
      <c r="AD4" s="102" t="s">
        <v>130</v>
      </c>
    </row>
    <row r="5" spans="1:30" ht="16.5" customHeight="1">
      <c r="A5" s="99"/>
      <c r="B5" s="97"/>
      <c r="C5" s="97"/>
      <c r="D5" s="97"/>
      <c r="E5" s="97"/>
      <c r="F5" s="100"/>
      <c r="G5" s="101"/>
      <c r="H5" s="101"/>
      <c r="I5" s="97"/>
      <c r="J5" s="97"/>
      <c r="K5" s="97"/>
      <c r="L5" s="97"/>
      <c r="M5" s="97"/>
      <c r="N5" s="97"/>
      <c r="O5" s="102" t="s">
        <v>131</v>
      </c>
      <c r="P5" s="112" t="s">
        <v>132</v>
      </c>
      <c r="Q5" s="125"/>
      <c r="R5" s="99"/>
      <c r="S5" s="99"/>
      <c r="T5" s="99"/>
      <c r="U5" s="97"/>
      <c r="V5" s="97"/>
      <c r="W5" s="99"/>
      <c r="X5" s="99"/>
      <c r="Y5" s="99"/>
      <c r="Z5" s="102" t="s">
        <v>134</v>
      </c>
      <c r="AA5" s="97"/>
      <c r="AB5" s="97"/>
      <c r="AC5" s="95" t="s">
        <v>135</v>
      </c>
      <c r="AD5" s="123" t="s">
        <v>136</v>
      </c>
    </row>
    <row r="6" spans="1:30" ht="16.5" customHeight="1">
      <c r="A6" s="102" t="s">
        <v>137</v>
      </c>
      <c r="B6" s="97"/>
      <c r="C6" s="97"/>
      <c r="D6" s="97"/>
      <c r="E6" s="97"/>
      <c r="F6" s="98" t="s">
        <v>120</v>
      </c>
      <c r="G6" s="97" t="s">
        <v>121</v>
      </c>
      <c r="H6" s="97" t="s">
        <v>122</v>
      </c>
      <c r="I6" s="117" t="s">
        <v>138</v>
      </c>
      <c r="J6" s="97" t="s">
        <v>139</v>
      </c>
      <c r="K6" s="97" t="s">
        <v>138</v>
      </c>
      <c r="L6" s="97" t="s">
        <v>139</v>
      </c>
      <c r="M6" s="97" t="s">
        <v>138</v>
      </c>
      <c r="N6" s="97" t="s">
        <v>139</v>
      </c>
      <c r="O6" s="97" t="s">
        <v>128</v>
      </c>
      <c r="P6" s="97" t="s">
        <v>128</v>
      </c>
      <c r="Q6" s="126"/>
      <c r="R6" s="102"/>
      <c r="S6" s="102"/>
      <c r="T6" s="102"/>
      <c r="U6" s="97" t="s">
        <v>138</v>
      </c>
      <c r="V6" s="97" t="s">
        <v>139</v>
      </c>
      <c r="W6" s="102"/>
      <c r="X6" s="102" t="s">
        <v>143</v>
      </c>
      <c r="Y6" s="102" t="s">
        <v>144</v>
      </c>
      <c r="Z6" s="97" t="s">
        <v>145</v>
      </c>
      <c r="AA6" s="101" t="s">
        <v>146</v>
      </c>
      <c r="AB6" s="101" t="s">
        <v>147</v>
      </c>
      <c r="AC6" s="102" t="s">
        <v>148</v>
      </c>
      <c r="AD6" s="126"/>
    </row>
    <row r="7" spans="1:30" ht="28.5" customHeight="1">
      <c r="A7" s="102">
        <v>1</v>
      </c>
      <c r="B7" s="103" t="s">
        <v>992</v>
      </c>
      <c r="C7" s="104"/>
      <c r="D7" s="102" t="s">
        <v>150</v>
      </c>
      <c r="E7" s="102"/>
      <c r="F7" s="102">
        <v>135.14</v>
      </c>
      <c r="G7" s="102"/>
      <c r="H7" s="102">
        <f>SUM(F7:G7)</f>
        <v>135.14</v>
      </c>
      <c r="I7" s="118">
        <v>4310</v>
      </c>
      <c r="J7" s="102">
        <v>67</v>
      </c>
      <c r="K7" s="102">
        <v>5392</v>
      </c>
      <c r="L7" s="102">
        <v>36</v>
      </c>
      <c r="M7" s="102">
        <f>I7+K7</f>
        <v>9702</v>
      </c>
      <c r="N7" s="102">
        <f>J7+L7</f>
        <v>103</v>
      </c>
      <c r="O7" s="102">
        <v>339</v>
      </c>
      <c r="P7" s="102">
        <v>312</v>
      </c>
      <c r="Q7" s="102"/>
      <c r="R7" s="102">
        <v>1</v>
      </c>
      <c r="S7" s="102"/>
      <c r="T7" s="102">
        <v>1</v>
      </c>
      <c r="U7" s="102">
        <v>75</v>
      </c>
      <c r="V7" s="102">
        <v>1</v>
      </c>
      <c r="W7" s="102"/>
      <c r="X7" s="102">
        <v>68</v>
      </c>
      <c r="Y7" s="102"/>
      <c r="Z7" s="127"/>
      <c r="AA7" s="127">
        <v>120</v>
      </c>
      <c r="AB7" s="127"/>
      <c r="AC7" s="128">
        <v>508.1016</v>
      </c>
      <c r="AD7" s="129">
        <v>0.1082</v>
      </c>
    </row>
    <row r="8" spans="1:30" ht="28.5" customHeight="1">
      <c r="A8" s="102">
        <v>2</v>
      </c>
      <c r="B8" s="103" t="s">
        <v>993</v>
      </c>
      <c r="C8" s="102"/>
      <c r="D8" s="102" t="s">
        <v>150</v>
      </c>
      <c r="E8" s="102"/>
      <c r="F8" s="102">
        <v>28.356</v>
      </c>
      <c r="G8" s="102"/>
      <c r="H8" s="102">
        <f aca="true" t="shared" si="0" ref="H8:H24">SUM(F8:G8)</f>
        <v>28.356</v>
      </c>
      <c r="I8" s="118">
        <v>2101</v>
      </c>
      <c r="J8" s="102">
        <v>19</v>
      </c>
      <c r="K8" s="102">
        <v>3260</v>
      </c>
      <c r="L8" s="102">
        <v>32</v>
      </c>
      <c r="M8" s="102">
        <f aca="true" t="shared" si="1" ref="M8:N23">I8+K8</f>
        <v>5361</v>
      </c>
      <c r="N8" s="102">
        <f t="shared" si="1"/>
        <v>51</v>
      </c>
      <c r="O8" s="102">
        <v>175</v>
      </c>
      <c r="P8" s="102">
        <v>153</v>
      </c>
      <c r="Q8" s="102"/>
      <c r="R8" s="102">
        <v>2</v>
      </c>
      <c r="S8" s="102"/>
      <c r="T8" s="102">
        <v>2</v>
      </c>
      <c r="U8" s="102">
        <v>0</v>
      </c>
      <c r="V8" s="102">
        <v>0</v>
      </c>
      <c r="W8" s="102"/>
      <c r="X8" s="102">
        <v>20</v>
      </c>
      <c r="Y8" s="102"/>
      <c r="Z8" s="127"/>
      <c r="AA8" s="127">
        <v>33</v>
      </c>
      <c r="AB8" s="127"/>
      <c r="AC8" s="128">
        <v>287.3038</v>
      </c>
      <c r="AD8" s="129">
        <v>0.1221</v>
      </c>
    </row>
    <row r="9" spans="1:30" ht="28.5" customHeight="1">
      <c r="A9" s="102">
        <v>3</v>
      </c>
      <c r="B9" s="103" t="s">
        <v>994</v>
      </c>
      <c r="C9" s="102"/>
      <c r="D9" s="102"/>
      <c r="E9" s="102" t="s">
        <v>150</v>
      </c>
      <c r="F9" s="102"/>
      <c r="G9" s="102">
        <v>1.5</v>
      </c>
      <c r="H9" s="102">
        <f t="shared" si="0"/>
        <v>1.5</v>
      </c>
      <c r="I9" s="118">
        <v>0</v>
      </c>
      <c r="J9" s="102">
        <v>0</v>
      </c>
      <c r="K9" s="102">
        <v>2940</v>
      </c>
      <c r="L9" s="102">
        <v>5</v>
      </c>
      <c r="M9" s="102">
        <f t="shared" si="1"/>
        <v>2940</v>
      </c>
      <c r="N9" s="102">
        <f t="shared" si="1"/>
        <v>5</v>
      </c>
      <c r="O9" s="102">
        <f aca="true" t="shared" si="2" ref="O9:O22">(J9+L9)*3</f>
        <v>15</v>
      </c>
      <c r="P9" s="102">
        <f aca="true" t="shared" si="3" ref="P9:P22">O9</f>
        <v>15</v>
      </c>
      <c r="Q9" s="102"/>
      <c r="R9" s="102">
        <v>1</v>
      </c>
      <c r="S9" s="102"/>
      <c r="T9" s="102">
        <v>1</v>
      </c>
      <c r="U9" s="102">
        <v>0</v>
      </c>
      <c r="V9" s="102">
        <v>0</v>
      </c>
      <c r="W9" s="102"/>
      <c r="X9" s="102">
        <v>1</v>
      </c>
      <c r="Y9" s="102">
        <v>1</v>
      </c>
      <c r="Z9" s="127"/>
      <c r="AA9" s="127">
        <v>3</v>
      </c>
      <c r="AB9" s="127"/>
      <c r="AC9" s="128">
        <v>55.764</v>
      </c>
      <c r="AD9" s="130">
        <v>0</v>
      </c>
    </row>
    <row r="10" spans="1:30" ht="28.5" customHeight="1">
      <c r="A10" s="102">
        <v>4</v>
      </c>
      <c r="B10" s="103" t="s">
        <v>995</v>
      </c>
      <c r="C10" s="102"/>
      <c r="D10" s="102" t="s">
        <v>150</v>
      </c>
      <c r="E10" s="102"/>
      <c r="F10" s="102">
        <v>85.511</v>
      </c>
      <c r="G10" s="102"/>
      <c r="H10" s="102">
        <f t="shared" si="0"/>
        <v>85.511</v>
      </c>
      <c r="I10" s="118">
        <v>3616</v>
      </c>
      <c r="J10" s="102">
        <v>61</v>
      </c>
      <c r="K10" s="102">
        <v>1315</v>
      </c>
      <c r="L10" s="102">
        <v>16</v>
      </c>
      <c r="M10" s="102">
        <f t="shared" si="1"/>
        <v>4931</v>
      </c>
      <c r="N10" s="102">
        <f t="shared" si="1"/>
        <v>77</v>
      </c>
      <c r="O10" s="102">
        <v>261</v>
      </c>
      <c r="P10" s="102">
        <v>231</v>
      </c>
      <c r="Q10" s="102"/>
      <c r="R10" s="102">
        <v>2</v>
      </c>
      <c r="S10" s="102"/>
      <c r="T10" s="102">
        <v>2</v>
      </c>
      <c r="U10" s="102">
        <v>75</v>
      </c>
      <c r="V10" s="102">
        <v>1</v>
      </c>
      <c r="W10" s="102"/>
      <c r="X10" s="102">
        <v>60</v>
      </c>
      <c r="Y10" s="102"/>
      <c r="Z10" s="127"/>
      <c r="AA10" s="127">
        <v>57</v>
      </c>
      <c r="AB10" s="127"/>
      <c r="AC10" s="128">
        <v>513.9416</v>
      </c>
      <c r="AD10" s="129">
        <v>0.1135</v>
      </c>
    </row>
    <row r="11" spans="1:30" ht="28.5" customHeight="1">
      <c r="A11" s="102">
        <v>5</v>
      </c>
      <c r="B11" s="103" t="s">
        <v>996</v>
      </c>
      <c r="C11" s="102"/>
      <c r="D11" s="102"/>
      <c r="E11" s="102" t="s">
        <v>150</v>
      </c>
      <c r="F11" s="102"/>
      <c r="G11" s="102">
        <v>1.95</v>
      </c>
      <c r="H11" s="102">
        <f t="shared" si="0"/>
        <v>1.95</v>
      </c>
      <c r="I11" s="118">
        <v>0</v>
      </c>
      <c r="J11" s="102">
        <v>0</v>
      </c>
      <c r="K11" s="102">
        <v>160</v>
      </c>
      <c r="L11" s="102">
        <v>1</v>
      </c>
      <c r="M11" s="102">
        <f t="shared" si="1"/>
        <v>160</v>
      </c>
      <c r="N11" s="102">
        <f t="shared" si="1"/>
        <v>1</v>
      </c>
      <c r="O11" s="102">
        <f t="shared" si="2"/>
        <v>3</v>
      </c>
      <c r="P11" s="102">
        <f t="shared" si="3"/>
        <v>3</v>
      </c>
      <c r="Q11" s="102"/>
      <c r="R11" s="102">
        <v>1</v>
      </c>
      <c r="S11" s="102"/>
      <c r="T11" s="102">
        <v>1</v>
      </c>
      <c r="U11" s="102">
        <v>0</v>
      </c>
      <c r="V11" s="102">
        <v>0</v>
      </c>
      <c r="W11" s="102"/>
      <c r="X11" s="102">
        <v>1</v>
      </c>
      <c r="Y11" s="102">
        <v>1</v>
      </c>
      <c r="Z11" s="127"/>
      <c r="AA11" s="127">
        <v>3</v>
      </c>
      <c r="AB11" s="127"/>
      <c r="AC11" s="128">
        <v>16.1745</v>
      </c>
      <c r="AD11" s="102">
        <v>0</v>
      </c>
    </row>
    <row r="12" spans="1:30" ht="28.5" customHeight="1">
      <c r="A12" s="102">
        <v>6</v>
      </c>
      <c r="B12" s="103" t="s">
        <v>997</v>
      </c>
      <c r="C12" s="102"/>
      <c r="D12" s="102"/>
      <c r="E12" s="102" t="s">
        <v>150</v>
      </c>
      <c r="F12" s="102"/>
      <c r="G12" s="102">
        <v>6.298</v>
      </c>
      <c r="H12" s="102">
        <f t="shared" si="0"/>
        <v>6.298</v>
      </c>
      <c r="I12" s="118">
        <v>0</v>
      </c>
      <c r="J12" s="102">
        <v>0</v>
      </c>
      <c r="K12" s="102">
        <v>0</v>
      </c>
      <c r="L12" s="102">
        <v>0</v>
      </c>
      <c r="M12" s="102">
        <f t="shared" si="1"/>
        <v>0</v>
      </c>
      <c r="N12" s="102">
        <f t="shared" si="1"/>
        <v>0</v>
      </c>
      <c r="O12" s="102">
        <f t="shared" si="2"/>
        <v>0</v>
      </c>
      <c r="P12" s="102">
        <f t="shared" si="3"/>
        <v>0</v>
      </c>
      <c r="Q12" s="102"/>
      <c r="R12" s="102">
        <v>1</v>
      </c>
      <c r="S12" s="102"/>
      <c r="T12" s="102">
        <v>1</v>
      </c>
      <c r="U12" s="102">
        <v>0</v>
      </c>
      <c r="V12" s="102">
        <v>0</v>
      </c>
      <c r="W12" s="102"/>
      <c r="X12" s="102">
        <v>1</v>
      </c>
      <c r="Y12" s="102">
        <v>1</v>
      </c>
      <c r="Z12" s="127"/>
      <c r="AA12" s="127">
        <v>3</v>
      </c>
      <c r="AB12" s="127"/>
      <c r="AC12" s="128">
        <v>44.553</v>
      </c>
      <c r="AD12" s="102">
        <v>0</v>
      </c>
    </row>
    <row r="13" spans="1:30" ht="28.5" customHeight="1">
      <c r="A13" s="102">
        <v>7</v>
      </c>
      <c r="B13" s="103" t="s">
        <v>998</v>
      </c>
      <c r="C13" s="102" t="s">
        <v>150</v>
      </c>
      <c r="D13" s="102"/>
      <c r="E13" s="102"/>
      <c r="F13" s="102">
        <v>4.8</v>
      </c>
      <c r="G13" s="102">
        <v>1.4</v>
      </c>
      <c r="H13" s="102">
        <f t="shared" si="0"/>
        <v>6.199999999999999</v>
      </c>
      <c r="I13" s="118">
        <v>7975</v>
      </c>
      <c r="J13" s="102">
        <v>36</v>
      </c>
      <c r="K13" s="102">
        <v>6250</v>
      </c>
      <c r="L13" s="102">
        <v>18</v>
      </c>
      <c r="M13" s="102">
        <f>I13+K13</f>
        <v>14225</v>
      </c>
      <c r="N13" s="102">
        <f t="shared" si="1"/>
        <v>54</v>
      </c>
      <c r="O13" s="102">
        <f t="shared" si="2"/>
        <v>162</v>
      </c>
      <c r="P13" s="102">
        <f t="shared" si="3"/>
        <v>162</v>
      </c>
      <c r="Q13" s="102"/>
      <c r="R13" s="102">
        <v>9</v>
      </c>
      <c r="S13" s="102"/>
      <c r="T13" s="102">
        <v>9</v>
      </c>
      <c r="U13" s="102">
        <v>0</v>
      </c>
      <c r="V13" s="102">
        <v>0</v>
      </c>
      <c r="W13" s="102"/>
      <c r="X13" s="102">
        <v>37</v>
      </c>
      <c r="Y13" s="102"/>
      <c r="Z13" s="127"/>
      <c r="AA13" s="127">
        <v>108</v>
      </c>
      <c r="AB13" s="127"/>
      <c r="AC13" s="128">
        <v>1989.3729</v>
      </c>
      <c r="AD13" s="129">
        <v>0.0904</v>
      </c>
    </row>
    <row r="14" spans="1:30" ht="28.5" customHeight="1">
      <c r="A14" s="102">
        <v>8</v>
      </c>
      <c r="B14" s="103" t="s">
        <v>999</v>
      </c>
      <c r="C14" s="102" t="s">
        <v>150</v>
      </c>
      <c r="D14" s="102"/>
      <c r="E14" s="102"/>
      <c r="F14" s="102">
        <v>8.8</v>
      </c>
      <c r="G14" s="102"/>
      <c r="H14" s="102">
        <f t="shared" si="0"/>
        <v>8.8</v>
      </c>
      <c r="I14" s="118">
        <v>11295</v>
      </c>
      <c r="J14" s="102">
        <v>46</v>
      </c>
      <c r="K14" s="102">
        <v>7060</v>
      </c>
      <c r="L14" s="102">
        <v>44</v>
      </c>
      <c r="M14" s="102">
        <f>I14+K14</f>
        <v>18355</v>
      </c>
      <c r="N14" s="102">
        <f>J14+L14</f>
        <v>90</v>
      </c>
      <c r="O14" s="102">
        <f t="shared" si="2"/>
        <v>270</v>
      </c>
      <c r="P14" s="102">
        <f t="shared" si="3"/>
        <v>270</v>
      </c>
      <c r="Q14" s="102"/>
      <c r="R14" s="102">
        <v>10</v>
      </c>
      <c r="S14" s="102"/>
      <c r="T14" s="102">
        <v>10</v>
      </c>
      <c r="U14" s="102">
        <v>0</v>
      </c>
      <c r="V14" s="102">
        <v>0</v>
      </c>
      <c r="W14" s="102"/>
      <c r="X14" s="102">
        <v>47</v>
      </c>
      <c r="Y14" s="102"/>
      <c r="Z14" s="127"/>
      <c r="AA14" s="127">
        <v>138</v>
      </c>
      <c r="AB14" s="127"/>
      <c r="AC14" s="128">
        <v>2325.5395</v>
      </c>
      <c r="AD14" s="129">
        <v>0.0901</v>
      </c>
    </row>
    <row r="15" spans="1:30" ht="28.5" customHeight="1">
      <c r="A15" s="102">
        <v>9</v>
      </c>
      <c r="B15" s="103" t="s">
        <v>1000</v>
      </c>
      <c r="C15" s="102"/>
      <c r="D15" s="102" t="s">
        <v>150</v>
      </c>
      <c r="E15" s="102"/>
      <c r="F15" s="102">
        <v>23.9</v>
      </c>
      <c r="G15" s="102"/>
      <c r="H15" s="102">
        <f t="shared" si="0"/>
        <v>23.9</v>
      </c>
      <c r="I15" s="118">
        <v>680</v>
      </c>
      <c r="J15" s="102">
        <v>19</v>
      </c>
      <c r="K15" s="102">
        <v>150</v>
      </c>
      <c r="L15" s="102">
        <v>3</v>
      </c>
      <c r="M15" s="102">
        <f t="shared" si="1"/>
        <v>830</v>
      </c>
      <c r="N15" s="102">
        <f t="shared" si="1"/>
        <v>22</v>
      </c>
      <c r="O15" s="102">
        <v>69</v>
      </c>
      <c r="P15" s="102">
        <v>66</v>
      </c>
      <c r="Q15" s="102"/>
      <c r="R15" s="102"/>
      <c r="S15" s="102"/>
      <c r="T15" s="102">
        <v>0</v>
      </c>
      <c r="U15" s="102">
        <v>0</v>
      </c>
      <c r="V15" s="102">
        <v>0</v>
      </c>
      <c r="W15" s="102"/>
      <c r="X15" s="102">
        <v>20</v>
      </c>
      <c r="Y15" s="102"/>
      <c r="Z15" s="127"/>
      <c r="AA15" s="127">
        <v>12</v>
      </c>
      <c r="AB15" s="127"/>
      <c r="AC15" s="128">
        <v>115.5023</v>
      </c>
      <c r="AD15" s="129">
        <v>0.0824</v>
      </c>
    </row>
    <row r="16" spans="1:30" ht="28.5" customHeight="1">
      <c r="A16" s="97">
        <v>10</v>
      </c>
      <c r="B16" s="103" t="s">
        <v>1001</v>
      </c>
      <c r="C16" s="97"/>
      <c r="D16" s="97" t="s">
        <v>150</v>
      </c>
      <c r="E16" s="97"/>
      <c r="F16" s="97">
        <v>21.72</v>
      </c>
      <c r="G16" s="97"/>
      <c r="H16" s="102">
        <f t="shared" si="0"/>
        <v>21.72</v>
      </c>
      <c r="I16" s="117">
        <v>180</v>
      </c>
      <c r="J16" s="97">
        <v>2</v>
      </c>
      <c r="K16" s="97">
        <v>0</v>
      </c>
      <c r="L16" s="97">
        <v>0</v>
      </c>
      <c r="M16" s="102">
        <f t="shared" si="1"/>
        <v>180</v>
      </c>
      <c r="N16" s="102">
        <f t="shared" si="1"/>
        <v>2</v>
      </c>
      <c r="O16" s="102">
        <f t="shared" si="2"/>
        <v>6</v>
      </c>
      <c r="P16" s="102">
        <f t="shared" si="3"/>
        <v>6</v>
      </c>
      <c r="Q16" s="97"/>
      <c r="R16" s="97"/>
      <c r="S16" s="97"/>
      <c r="T16" s="102">
        <v>0</v>
      </c>
      <c r="U16" s="97">
        <v>0</v>
      </c>
      <c r="V16" s="97">
        <v>0</v>
      </c>
      <c r="W16" s="97">
        <v>6</v>
      </c>
      <c r="X16" s="97">
        <v>3</v>
      </c>
      <c r="Y16" s="97"/>
      <c r="Z16" s="131"/>
      <c r="AA16" s="131">
        <v>6</v>
      </c>
      <c r="AB16" s="131"/>
      <c r="AC16" s="132">
        <v>87.1166</v>
      </c>
      <c r="AD16" s="133">
        <v>0.0647</v>
      </c>
    </row>
    <row r="17" spans="1:30" ht="28.5" customHeight="1">
      <c r="A17" s="97">
        <v>11</v>
      </c>
      <c r="B17" s="103" t="s">
        <v>1002</v>
      </c>
      <c r="C17" s="97"/>
      <c r="D17" s="97" t="s">
        <v>150</v>
      </c>
      <c r="E17" s="97"/>
      <c r="F17" s="97">
        <v>68</v>
      </c>
      <c r="G17" s="97">
        <v>1.8</v>
      </c>
      <c r="H17" s="102">
        <f t="shared" si="0"/>
        <v>69.8</v>
      </c>
      <c r="I17" s="117">
        <v>1650</v>
      </c>
      <c r="J17" s="97">
        <v>31</v>
      </c>
      <c r="K17" s="97">
        <v>1020</v>
      </c>
      <c r="L17" s="97">
        <v>21</v>
      </c>
      <c r="M17" s="102">
        <f t="shared" si="1"/>
        <v>2670</v>
      </c>
      <c r="N17" s="102">
        <f t="shared" si="1"/>
        <v>52</v>
      </c>
      <c r="O17" s="102">
        <v>177</v>
      </c>
      <c r="P17" s="102">
        <v>156</v>
      </c>
      <c r="Q17" s="97"/>
      <c r="R17" s="97"/>
      <c r="S17" s="97"/>
      <c r="T17" s="102">
        <v>0</v>
      </c>
      <c r="U17" s="97">
        <v>0</v>
      </c>
      <c r="V17" s="97">
        <v>0</v>
      </c>
      <c r="W17" s="97"/>
      <c r="X17" s="97">
        <v>33</v>
      </c>
      <c r="Y17" s="97"/>
      <c r="Z17" s="131"/>
      <c r="AA17" s="131">
        <v>60</v>
      </c>
      <c r="AB17" s="131"/>
      <c r="AC17" s="132">
        <v>381.0686</v>
      </c>
      <c r="AD17" s="133">
        <v>0.1065</v>
      </c>
    </row>
    <row r="18" spans="1:30" ht="28.5" customHeight="1">
      <c r="A18" s="102">
        <v>12</v>
      </c>
      <c r="B18" s="103" t="s">
        <v>1003</v>
      </c>
      <c r="C18" s="97"/>
      <c r="D18" s="97" t="s">
        <v>150</v>
      </c>
      <c r="E18" s="97"/>
      <c r="F18" s="97">
        <v>56.421</v>
      </c>
      <c r="G18" s="97"/>
      <c r="H18" s="102">
        <f t="shared" si="0"/>
        <v>56.421</v>
      </c>
      <c r="I18" s="117">
        <v>2753</v>
      </c>
      <c r="J18" s="97">
        <v>40</v>
      </c>
      <c r="K18" s="97">
        <v>1310</v>
      </c>
      <c r="L18" s="97">
        <v>14</v>
      </c>
      <c r="M18" s="102">
        <f t="shared" si="1"/>
        <v>4063</v>
      </c>
      <c r="N18" s="102">
        <f t="shared" si="1"/>
        <v>54</v>
      </c>
      <c r="O18" s="102">
        <v>180</v>
      </c>
      <c r="P18" s="102">
        <v>162</v>
      </c>
      <c r="Q18" s="97"/>
      <c r="R18" s="97">
        <v>2</v>
      </c>
      <c r="S18" s="97"/>
      <c r="T18" s="102">
        <v>2</v>
      </c>
      <c r="U18" s="97">
        <v>75</v>
      </c>
      <c r="V18" s="97">
        <v>1</v>
      </c>
      <c r="W18" s="97">
        <v>12</v>
      </c>
      <c r="X18" s="97">
        <v>40</v>
      </c>
      <c r="Y18" s="97"/>
      <c r="Z18" s="131"/>
      <c r="AA18" s="131">
        <v>63</v>
      </c>
      <c r="AB18" s="131"/>
      <c r="AC18" s="132">
        <v>445.3118</v>
      </c>
      <c r="AD18" s="133">
        <v>0.1326</v>
      </c>
    </row>
    <row r="19" spans="1:30" ht="28.5" customHeight="1">
      <c r="A19" s="102">
        <v>13</v>
      </c>
      <c r="B19" s="103" t="s">
        <v>1004</v>
      </c>
      <c r="C19" s="97"/>
      <c r="D19" s="97" t="s">
        <v>150</v>
      </c>
      <c r="E19" s="97"/>
      <c r="F19" s="97">
        <v>292.78</v>
      </c>
      <c r="G19" s="97"/>
      <c r="H19" s="102">
        <f t="shared" si="0"/>
        <v>292.78</v>
      </c>
      <c r="I19" s="117">
        <v>5090</v>
      </c>
      <c r="J19" s="97">
        <v>94</v>
      </c>
      <c r="K19" s="97">
        <v>4880</v>
      </c>
      <c r="L19" s="97">
        <v>26</v>
      </c>
      <c r="M19" s="102">
        <f t="shared" si="1"/>
        <v>9970</v>
      </c>
      <c r="N19" s="102">
        <f t="shared" si="1"/>
        <v>120</v>
      </c>
      <c r="O19" s="102">
        <v>381</v>
      </c>
      <c r="P19" s="102">
        <v>360</v>
      </c>
      <c r="Q19" s="97"/>
      <c r="R19" s="97">
        <v>7</v>
      </c>
      <c r="S19" s="97"/>
      <c r="T19" s="102">
        <v>7</v>
      </c>
      <c r="U19" s="97">
        <v>0</v>
      </c>
      <c r="V19" s="97">
        <v>0</v>
      </c>
      <c r="W19" s="97">
        <v>9</v>
      </c>
      <c r="X19" s="97">
        <v>94</v>
      </c>
      <c r="Y19" s="97"/>
      <c r="Z19" s="131"/>
      <c r="AA19" s="131">
        <v>144</v>
      </c>
      <c r="AB19" s="131"/>
      <c r="AC19" s="132">
        <v>1024.8389</v>
      </c>
      <c r="AD19" s="133">
        <v>0.1043</v>
      </c>
    </row>
    <row r="20" spans="1:30" ht="28.5" customHeight="1">
      <c r="A20" s="97">
        <v>14</v>
      </c>
      <c r="B20" s="103" t="s">
        <v>1005</v>
      </c>
      <c r="C20" s="97"/>
      <c r="D20" s="97" t="s">
        <v>150</v>
      </c>
      <c r="E20" s="97"/>
      <c r="F20" s="97">
        <v>98.178</v>
      </c>
      <c r="G20" s="97"/>
      <c r="H20" s="102">
        <f t="shared" si="0"/>
        <v>98.178</v>
      </c>
      <c r="I20" s="117">
        <v>4277</v>
      </c>
      <c r="J20" s="97">
        <v>62</v>
      </c>
      <c r="K20" s="97">
        <v>4790</v>
      </c>
      <c r="L20" s="97">
        <v>29</v>
      </c>
      <c r="M20" s="102">
        <f t="shared" si="1"/>
        <v>9067</v>
      </c>
      <c r="N20" s="102">
        <f t="shared" si="1"/>
        <v>91</v>
      </c>
      <c r="O20" s="102">
        <v>294</v>
      </c>
      <c r="P20" s="102">
        <v>273</v>
      </c>
      <c r="Q20" s="97"/>
      <c r="R20" s="97">
        <v>2</v>
      </c>
      <c r="S20" s="97"/>
      <c r="T20" s="102">
        <v>2</v>
      </c>
      <c r="U20" s="97">
        <v>0</v>
      </c>
      <c r="V20" s="97">
        <v>0</v>
      </c>
      <c r="W20" s="97">
        <v>6</v>
      </c>
      <c r="X20" s="97">
        <v>63</v>
      </c>
      <c r="Y20" s="97"/>
      <c r="Z20" s="131"/>
      <c r="AA20" s="131">
        <v>105</v>
      </c>
      <c r="AB20" s="131"/>
      <c r="AC20" s="132">
        <v>764.463</v>
      </c>
      <c r="AD20" s="97">
        <v>9.52</v>
      </c>
    </row>
    <row r="21" spans="1:30" ht="28.5" customHeight="1">
      <c r="A21" s="102">
        <v>15</v>
      </c>
      <c r="B21" s="103" t="s">
        <v>1006</v>
      </c>
      <c r="C21" s="97"/>
      <c r="D21" s="97"/>
      <c r="E21" s="97" t="s">
        <v>150</v>
      </c>
      <c r="F21" s="97"/>
      <c r="G21" s="97">
        <v>21.65</v>
      </c>
      <c r="H21" s="102">
        <f t="shared" si="0"/>
        <v>21.65</v>
      </c>
      <c r="I21" s="117">
        <v>0</v>
      </c>
      <c r="J21" s="97">
        <v>0</v>
      </c>
      <c r="K21" s="97">
        <v>660</v>
      </c>
      <c r="L21" s="97">
        <v>2</v>
      </c>
      <c r="M21" s="102">
        <f t="shared" si="1"/>
        <v>660</v>
      </c>
      <c r="N21" s="102">
        <f t="shared" si="1"/>
        <v>2</v>
      </c>
      <c r="O21" s="102">
        <f t="shared" si="2"/>
        <v>6</v>
      </c>
      <c r="P21" s="102">
        <f t="shared" si="3"/>
        <v>6</v>
      </c>
      <c r="Q21" s="97"/>
      <c r="R21" s="97">
        <v>1</v>
      </c>
      <c r="S21" s="97"/>
      <c r="T21" s="102">
        <v>1</v>
      </c>
      <c r="U21" s="97">
        <v>0</v>
      </c>
      <c r="V21" s="97">
        <v>0</v>
      </c>
      <c r="W21" s="97"/>
      <c r="X21" s="97">
        <v>1</v>
      </c>
      <c r="Y21" s="97">
        <v>1</v>
      </c>
      <c r="Z21" s="131"/>
      <c r="AA21" s="131">
        <v>3</v>
      </c>
      <c r="AB21" s="131"/>
      <c r="AC21" s="132">
        <v>46.227</v>
      </c>
      <c r="AD21" s="97">
        <v>0</v>
      </c>
    </row>
    <row r="22" spans="1:30" ht="28.5" customHeight="1">
      <c r="A22" s="97">
        <v>16</v>
      </c>
      <c r="B22" s="96" t="s">
        <v>1007</v>
      </c>
      <c r="C22" s="97"/>
      <c r="D22" s="97"/>
      <c r="E22" s="97" t="s">
        <v>150</v>
      </c>
      <c r="F22" s="97"/>
      <c r="G22" s="97">
        <v>6.903</v>
      </c>
      <c r="H22" s="102">
        <f t="shared" si="0"/>
        <v>6.903</v>
      </c>
      <c r="I22" s="117">
        <v>0</v>
      </c>
      <c r="J22" s="97">
        <v>0</v>
      </c>
      <c r="K22" s="97">
        <v>1765</v>
      </c>
      <c r="L22" s="97">
        <v>4</v>
      </c>
      <c r="M22" s="102">
        <f t="shared" si="1"/>
        <v>1765</v>
      </c>
      <c r="N22" s="102">
        <f t="shared" si="1"/>
        <v>4</v>
      </c>
      <c r="O22" s="102">
        <f t="shared" si="2"/>
        <v>12</v>
      </c>
      <c r="P22" s="102">
        <f t="shared" si="3"/>
        <v>12</v>
      </c>
      <c r="Q22" s="97"/>
      <c r="R22" s="97">
        <v>1</v>
      </c>
      <c r="S22" s="97"/>
      <c r="T22" s="102">
        <v>1</v>
      </c>
      <c r="U22" s="97">
        <v>0</v>
      </c>
      <c r="V22" s="97">
        <v>0</v>
      </c>
      <c r="W22" s="97"/>
      <c r="X22" s="97">
        <v>1</v>
      </c>
      <c r="Y22" s="97">
        <v>1</v>
      </c>
      <c r="Z22" s="131"/>
      <c r="AA22" s="131">
        <v>3</v>
      </c>
      <c r="AB22" s="131"/>
      <c r="AC22" s="132">
        <v>706.413</v>
      </c>
      <c r="AD22" s="97">
        <v>0</v>
      </c>
    </row>
    <row r="23" spans="1:30" ht="28.5" customHeight="1">
      <c r="A23" s="97">
        <v>17</v>
      </c>
      <c r="B23" s="96" t="s">
        <v>1008</v>
      </c>
      <c r="C23" s="97"/>
      <c r="D23" s="97" t="s">
        <v>150</v>
      </c>
      <c r="E23" s="97"/>
      <c r="F23" s="97">
        <v>124.379</v>
      </c>
      <c r="G23" s="97"/>
      <c r="H23" s="102">
        <f t="shared" si="0"/>
        <v>124.379</v>
      </c>
      <c r="I23" s="117">
        <v>7853</v>
      </c>
      <c r="J23" s="97">
        <v>98</v>
      </c>
      <c r="K23" s="97">
        <v>12898</v>
      </c>
      <c r="L23" s="97">
        <v>56</v>
      </c>
      <c r="M23" s="102">
        <f t="shared" si="1"/>
        <v>20751</v>
      </c>
      <c r="N23" s="102">
        <f t="shared" si="1"/>
        <v>154</v>
      </c>
      <c r="O23" s="102">
        <v>483</v>
      </c>
      <c r="P23" s="102">
        <v>462</v>
      </c>
      <c r="Q23" s="97"/>
      <c r="R23" s="97">
        <v>5</v>
      </c>
      <c r="S23" s="97"/>
      <c r="T23" s="102">
        <v>5</v>
      </c>
      <c r="U23" s="97">
        <v>125</v>
      </c>
      <c r="V23" s="97">
        <v>1</v>
      </c>
      <c r="W23" s="97"/>
      <c r="X23" s="97">
        <v>99</v>
      </c>
      <c r="Y23" s="97"/>
      <c r="Z23" s="131"/>
      <c r="AA23" s="131">
        <v>3</v>
      </c>
      <c r="AB23" s="131"/>
      <c r="AC23" s="134">
        <v>1690.4678</v>
      </c>
      <c r="AD23" s="133">
        <v>0.0958</v>
      </c>
    </row>
    <row r="24" spans="1:30" ht="23.25" customHeight="1">
      <c r="A24" s="102">
        <v>18</v>
      </c>
      <c r="B24" s="103" t="s">
        <v>1009</v>
      </c>
      <c r="C24" s="104"/>
      <c r="D24" s="102" t="s">
        <v>150</v>
      </c>
      <c r="E24" s="102"/>
      <c r="F24" s="102">
        <v>121.6</v>
      </c>
      <c r="G24" s="102"/>
      <c r="H24" s="102">
        <f t="shared" si="0"/>
        <v>121.6</v>
      </c>
      <c r="I24" s="118">
        <v>4510</v>
      </c>
      <c r="J24" s="102">
        <v>106</v>
      </c>
      <c r="K24" s="102">
        <v>2410</v>
      </c>
      <c r="L24" s="102">
        <v>19</v>
      </c>
      <c r="M24" s="102">
        <f aca="true" t="shared" si="4" ref="M24:N38">I24+K24</f>
        <v>6920</v>
      </c>
      <c r="N24" s="102">
        <f t="shared" si="4"/>
        <v>125</v>
      </c>
      <c r="O24" s="104">
        <v>405</v>
      </c>
      <c r="P24" s="102">
        <v>375</v>
      </c>
      <c r="Q24" s="102"/>
      <c r="R24" s="102">
        <v>3</v>
      </c>
      <c r="S24" s="102"/>
      <c r="T24" s="102">
        <f aca="true" t="shared" si="5" ref="T24:T38">SUM(Q24:S24)</f>
        <v>3</v>
      </c>
      <c r="U24" s="102">
        <v>90</v>
      </c>
      <c r="V24" s="102">
        <v>1</v>
      </c>
      <c r="W24" s="102"/>
      <c r="X24" s="102">
        <v>107</v>
      </c>
      <c r="Y24" s="102"/>
      <c r="Z24" s="135"/>
      <c r="AA24" s="135">
        <v>81</v>
      </c>
      <c r="AB24" s="135"/>
      <c r="AC24" s="128">
        <v>826.203</v>
      </c>
      <c r="AD24" s="129">
        <v>0.1258</v>
      </c>
    </row>
    <row r="25" spans="1:30" ht="23.25" customHeight="1">
      <c r="A25" s="102">
        <v>19</v>
      </c>
      <c r="B25" s="103" t="s">
        <v>1010</v>
      </c>
      <c r="C25" s="102"/>
      <c r="D25" s="102" t="s">
        <v>150</v>
      </c>
      <c r="E25" s="102"/>
      <c r="F25" s="102">
        <v>1.444</v>
      </c>
      <c r="G25" s="102">
        <v>0.1</v>
      </c>
      <c r="H25" s="102">
        <f aca="true" t="shared" si="6" ref="H25:H38">SUM(F25:G25)</f>
        <v>1.544</v>
      </c>
      <c r="I25" s="118">
        <v>175</v>
      </c>
      <c r="J25" s="102">
        <v>2</v>
      </c>
      <c r="K25" s="102">
        <v>1460</v>
      </c>
      <c r="L25" s="102">
        <v>23</v>
      </c>
      <c r="M25" s="102">
        <f t="shared" si="4"/>
        <v>1635</v>
      </c>
      <c r="N25" s="102">
        <f t="shared" si="4"/>
        <v>25</v>
      </c>
      <c r="O25" s="102">
        <v>84</v>
      </c>
      <c r="P25" s="102">
        <v>75</v>
      </c>
      <c r="Q25" s="102"/>
      <c r="R25" s="102"/>
      <c r="S25" s="102"/>
      <c r="T25" s="102">
        <f t="shared" si="5"/>
        <v>0</v>
      </c>
      <c r="U25" s="102">
        <v>0</v>
      </c>
      <c r="V25" s="102">
        <v>0</v>
      </c>
      <c r="W25" s="102"/>
      <c r="X25" s="102">
        <v>3</v>
      </c>
      <c r="Y25" s="102"/>
      <c r="Z25" s="135"/>
      <c r="AA25" s="135">
        <v>6</v>
      </c>
      <c r="AB25" s="135"/>
      <c r="AC25" s="128">
        <v>231.7413</v>
      </c>
      <c r="AD25" s="129">
        <v>0.0623</v>
      </c>
    </row>
    <row r="26" spans="1:30" ht="23.25" customHeight="1">
      <c r="A26" s="102">
        <v>20</v>
      </c>
      <c r="B26" s="105" t="s">
        <v>1011</v>
      </c>
      <c r="C26" s="102"/>
      <c r="D26" s="102" t="s">
        <v>150</v>
      </c>
      <c r="E26" s="102"/>
      <c r="F26" s="102">
        <v>169.512</v>
      </c>
      <c r="G26" s="102"/>
      <c r="H26" s="102">
        <f t="shared" si="6"/>
        <v>169.512</v>
      </c>
      <c r="I26" s="118">
        <v>4747</v>
      </c>
      <c r="J26" s="102">
        <v>76</v>
      </c>
      <c r="K26" s="102">
        <v>2565</v>
      </c>
      <c r="L26" s="102">
        <v>22</v>
      </c>
      <c r="M26" s="102">
        <f t="shared" si="4"/>
        <v>7312</v>
      </c>
      <c r="N26" s="102">
        <f t="shared" si="4"/>
        <v>98</v>
      </c>
      <c r="O26" s="102">
        <v>334</v>
      </c>
      <c r="P26" s="102">
        <v>294</v>
      </c>
      <c r="Q26" s="102"/>
      <c r="R26" s="102">
        <v>1</v>
      </c>
      <c r="S26" s="102"/>
      <c r="T26" s="102">
        <f t="shared" si="5"/>
        <v>1</v>
      </c>
      <c r="U26" s="102">
        <v>0</v>
      </c>
      <c r="V26" s="102">
        <v>0</v>
      </c>
      <c r="W26" s="102"/>
      <c r="X26" s="102">
        <v>77</v>
      </c>
      <c r="Y26" s="102"/>
      <c r="Z26" s="135"/>
      <c r="AA26" s="135">
        <v>210</v>
      </c>
      <c r="AB26" s="135"/>
      <c r="AC26" s="128">
        <v>669.0482</v>
      </c>
      <c r="AD26" s="129">
        <v>0.1239</v>
      </c>
    </row>
    <row r="27" spans="1:30" ht="23.25" customHeight="1">
      <c r="A27" s="102">
        <v>21</v>
      </c>
      <c r="B27" s="103" t="s">
        <v>1012</v>
      </c>
      <c r="C27" s="102" t="s">
        <v>150</v>
      </c>
      <c r="D27" s="102"/>
      <c r="E27" s="102"/>
      <c r="F27" s="102">
        <v>10.21</v>
      </c>
      <c r="G27" s="102"/>
      <c r="H27" s="102">
        <f t="shared" si="6"/>
        <v>10.21</v>
      </c>
      <c r="I27" s="118">
        <v>0</v>
      </c>
      <c r="J27" s="102">
        <v>0</v>
      </c>
      <c r="K27" s="102">
        <v>160</v>
      </c>
      <c r="L27" s="102">
        <v>1</v>
      </c>
      <c r="M27" s="102">
        <f t="shared" si="4"/>
        <v>160</v>
      </c>
      <c r="N27" s="102">
        <f t="shared" si="4"/>
        <v>1</v>
      </c>
      <c r="O27" s="102">
        <f aca="true" t="shared" si="7" ref="O27:O38">(J27+L27)*3</f>
        <v>3</v>
      </c>
      <c r="P27" s="102">
        <f aca="true" t="shared" si="8" ref="P27:P38">O27</f>
        <v>3</v>
      </c>
      <c r="Q27" s="102"/>
      <c r="R27" s="102">
        <v>2</v>
      </c>
      <c r="S27" s="102"/>
      <c r="T27" s="102">
        <f t="shared" si="5"/>
        <v>2</v>
      </c>
      <c r="U27" s="102">
        <v>0</v>
      </c>
      <c r="V27" s="102">
        <v>0</v>
      </c>
      <c r="W27" s="102"/>
      <c r="X27" s="102">
        <v>1</v>
      </c>
      <c r="Y27" s="102"/>
      <c r="Z27" s="135"/>
      <c r="AA27" s="135">
        <v>3</v>
      </c>
      <c r="AB27" s="135"/>
      <c r="AC27" s="128">
        <v>805.1547</v>
      </c>
      <c r="AD27" s="129">
        <v>0.0906</v>
      </c>
    </row>
    <row r="28" spans="1:30" ht="23.25" customHeight="1">
      <c r="A28" s="102">
        <v>22</v>
      </c>
      <c r="B28" s="103" t="s">
        <v>1013</v>
      </c>
      <c r="C28" s="102"/>
      <c r="D28" s="102"/>
      <c r="E28" s="102" t="s">
        <v>150</v>
      </c>
      <c r="F28" s="102"/>
      <c r="G28" s="102">
        <v>13.885</v>
      </c>
      <c r="H28" s="102">
        <f t="shared" si="6"/>
        <v>13.885</v>
      </c>
      <c r="I28" s="118">
        <v>0</v>
      </c>
      <c r="J28" s="102">
        <v>0</v>
      </c>
      <c r="K28" s="102">
        <v>1720</v>
      </c>
      <c r="L28" s="102">
        <v>4</v>
      </c>
      <c r="M28" s="102">
        <f t="shared" si="4"/>
        <v>1720</v>
      </c>
      <c r="N28" s="102">
        <f t="shared" si="4"/>
        <v>4</v>
      </c>
      <c r="O28" s="102">
        <f t="shared" si="7"/>
        <v>12</v>
      </c>
      <c r="P28" s="102">
        <f t="shared" si="8"/>
        <v>12</v>
      </c>
      <c r="Q28" s="102"/>
      <c r="R28" s="102">
        <v>1</v>
      </c>
      <c r="S28" s="102"/>
      <c r="T28" s="102">
        <f t="shared" si="5"/>
        <v>1</v>
      </c>
      <c r="U28" s="102">
        <v>0</v>
      </c>
      <c r="V28" s="102">
        <v>0</v>
      </c>
      <c r="W28" s="102"/>
      <c r="X28" s="102">
        <v>1</v>
      </c>
      <c r="Y28" s="102">
        <v>1</v>
      </c>
      <c r="Z28" s="135"/>
      <c r="AA28" s="135">
        <v>3</v>
      </c>
      <c r="AB28" s="135"/>
      <c r="AC28" s="128">
        <v>98.864</v>
      </c>
      <c r="AD28" s="102">
        <v>0</v>
      </c>
    </row>
    <row r="29" spans="1:30" ht="23.25" customHeight="1">
      <c r="A29" s="102">
        <v>23</v>
      </c>
      <c r="B29" s="103" t="s">
        <v>1014</v>
      </c>
      <c r="C29" s="102"/>
      <c r="D29" s="102" t="s">
        <v>150</v>
      </c>
      <c r="E29" s="102"/>
      <c r="F29" s="102">
        <v>93.09</v>
      </c>
      <c r="G29" s="102">
        <v>8.468</v>
      </c>
      <c r="H29" s="102">
        <f t="shared" si="6"/>
        <v>101.558</v>
      </c>
      <c r="I29" s="118">
        <v>3346</v>
      </c>
      <c r="J29" s="102">
        <v>70</v>
      </c>
      <c r="K29" s="102">
        <v>4940</v>
      </c>
      <c r="L29" s="102">
        <v>20</v>
      </c>
      <c r="M29" s="102">
        <f t="shared" si="4"/>
        <v>8286</v>
      </c>
      <c r="N29" s="102">
        <f t="shared" si="4"/>
        <v>90</v>
      </c>
      <c r="O29" s="102">
        <v>285</v>
      </c>
      <c r="P29" s="102">
        <v>270</v>
      </c>
      <c r="Q29" s="102"/>
      <c r="R29" s="102">
        <v>6</v>
      </c>
      <c r="S29" s="102"/>
      <c r="T29" s="102">
        <f t="shared" si="5"/>
        <v>6</v>
      </c>
      <c r="U29" s="102">
        <v>0</v>
      </c>
      <c r="V29" s="102">
        <v>0</v>
      </c>
      <c r="W29" s="102"/>
      <c r="X29" s="102">
        <v>71</v>
      </c>
      <c r="Y29" s="102"/>
      <c r="Z29" s="135"/>
      <c r="AA29" s="135">
        <v>54</v>
      </c>
      <c r="AB29" s="135"/>
      <c r="AC29" s="128">
        <v>599.3753</v>
      </c>
      <c r="AD29" s="129">
        <v>0.0928</v>
      </c>
    </row>
    <row r="30" spans="1:30" ht="23.25" customHeight="1">
      <c r="A30" s="102">
        <v>24</v>
      </c>
      <c r="B30" s="103" t="s">
        <v>1015</v>
      </c>
      <c r="C30" s="102" t="s">
        <v>150</v>
      </c>
      <c r="D30" s="102"/>
      <c r="E30" s="102"/>
      <c r="F30" s="102">
        <v>0.02</v>
      </c>
      <c r="G30" s="102"/>
      <c r="H30" s="102">
        <f t="shared" si="6"/>
        <v>0.02</v>
      </c>
      <c r="I30" s="118">
        <v>0</v>
      </c>
      <c r="J30" s="102">
        <v>0</v>
      </c>
      <c r="K30" s="102">
        <v>0</v>
      </c>
      <c r="L30" s="102">
        <v>0</v>
      </c>
      <c r="M30" s="102">
        <f t="shared" si="4"/>
        <v>0</v>
      </c>
      <c r="N30" s="102">
        <f t="shared" si="4"/>
        <v>0</v>
      </c>
      <c r="O30" s="102">
        <f t="shared" si="7"/>
        <v>0</v>
      </c>
      <c r="P30" s="102">
        <f t="shared" si="8"/>
        <v>0</v>
      </c>
      <c r="Q30" s="102"/>
      <c r="R30" s="102"/>
      <c r="S30" s="102"/>
      <c r="T30" s="102">
        <f t="shared" si="5"/>
        <v>0</v>
      </c>
      <c r="U30" s="102">
        <v>0</v>
      </c>
      <c r="V30" s="102">
        <v>0</v>
      </c>
      <c r="W30" s="102"/>
      <c r="X30" s="102">
        <v>1</v>
      </c>
      <c r="Y30" s="102"/>
      <c r="Z30" s="135"/>
      <c r="AA30" s="135">
        <v>3</v>
      </c>
      <c r="AB30" s="135"/>
      <c r="AC30" s="128">
        <v>361.6326</v>
      </c>
      <c r="AD30" s="129">
        <v>0</v>
      </c>
    </row>
    <row r="31" spans="1:30" ht="23.25" customHeight="1">
      <c r="A31" s="102">
        <v>25</v>
      </c>
      <c r="B31" s="103" t="s">
        <v>1016</v>
      </c>
      <c r="C31" s="102"/>
      <c r="D31" s="102"/>
      <c r="E31" s="102" t="s">
        <v>150</v>
      </c>
      <c r="F31" s="102"/>
      <c r="G31" s="102">
        <v>4.2</v>
      </c>
      <c r="H31" s="102">
        <f t="shared" si="6"/>
        <v>4.2</v>
      </c>
      <c r="I31" s="118">
        <v>0</v>
      </c>
      <c r="J31" s="102">
        <v>0</v>
      </c>
      <c r="K31" s="102">
        <v>2940</v>
      </c>
      <c r="L31" s="102">
        <v>5</v>
      </c>
      <c r="M31" s="102">
        <f t="shared" si="4"/>
        <v>2940</v>
      </c>
      <c r="N31" s="102">
        <f t="shared" si="4"/>
        <v>5</v>
      </c>
      <c r="O31" s="102">
        <f t="shared" si="7"/>
        <v>15</v>
      </c>
      <c r="P31" s="102">
        <f t="shared" si="8"/>
        <v>15</v>
      </c>
      <c r="Q31" s="102"/>
      <c r="R31" s="102">
        <v>1</v>
      </c>
      <c r="S31" s="102"/>
      <c r="T31" s="102">
        <f t="shared" si="5"/>
        <v>1</v>
      </c>
      <c r="U31" s="102">
        <v>0</v>
      </c>
      <c r="V31" s="102">
        <v>0</v>
      </c>
      <c r="W31" s="102"/>
      <c r="X31" s="97">
        <v>1</v>
      </c>
      <c r="Y31" s="97">
        <v>1</v>
      </c>
      <c r="Z31" s="136"/>
      <c r="AA31" s="136">
        <v>3</v>
      </c>
      <c r="AB31" s="135"/>
      <c r="AC31" s="128">
        <v>39.567</v>
      </c>
      <c r="AD31" s="102">
        <v>0</v>
      </c>
    </row>
    <row r="32" spans="1:30" ht="23.25" customHeight="1">
      <c r="A32" s="102">
        <v>26</v>
      </c>
      <c r="B32" s="103" t="s">
        <v>1017</v>
      </c>
      <c r="C32" s="97"/>
      <c r="D32" s="97"/>
      <c r="E32" s="97" t="s">
        <v>150</v>
      </c>
      <c r="F32" s="97"/>
      <c r="G32" s="97">
        <v>1.67</v>
      </c>
      <c r="H32" s="102">
        <f t="shared" si="6"/>
        <v>1.67</v>
      </c>
      <c r="I32" s="117">
        <v>0</v>
      </c>
      <c r="J32" s="97">
        <v>0</v>
      </c>
      <c r="K32" s="97">
        <v>0</v>
      </c>
      <c r="L32" s="97">
        <v>0</v>
      </c>
      <c r="M32" s="102">
        <f t="shared" si="4"/>
        <v>0</v>
      </c>
      <c r="N32" s="102">
        <f t="shared" si="4"/>
        <v>0</v>
      </c>
      <c r="O32" s="102">
        <f t="shared" si="7"/>
        <v>0</v>
      </c>
      <c r="P32" s="102">
        <f t="shared" si="8"/>
        <v>0</v>
      </c>
      <c r="Q32" s="97"/>
      <c r="R32" s="97">
        <v>1</v>
      </c>
      <c r="S32" s="97"/>
      <c r="T32" s="102">
        <f t="shared" si="5"/>
        <v>1</v>
      </c>
      <c r="U32" s="97">
        <v>0</v>
      </c>
      <c r="V32" s="97">
        <v>0</v>
      </c>
      <c r="W32" s="97"/>
      <c r="X32" s="97">
        <v>1</v>
      </c>
      <c r="Y32" s="97">
        <v>1</v>
      </c>
      <c r="Z32" s="136"/>
      <c r="AA32" s="136">
        <v>3</v>
      </c>
      <c r="AB32" s="136"/>
      <c r="AC32" s="132">
        <v>46.856</v>
      </c>
      <c r="AD32" s="97">
        <v>0</v>
      </c>
    </row>
    <row r="33" spans="1:30" ht="23.25" customHeight="1">
      <c r="A33" s="97">
        <v>27</v>
      </c>
      <c r="B33" s="103" t="s">
        <v>1018</v>
      </c>
      <c r="C33" s="97"/>
      <c r="D33" s="97"/>
      <c r="E33" s="97" t="s">
        <v>150</v>
      </c>
      <c r="F33" s="97"/>
      <c r="G33" s="97">
        <v>8.037</v>
      </c>
      <c r="H33" s="102">
        <f t="shared" si="6"/>
        <v>8.037</v>
      </c>
      <c r="I33" s="117">
        <v>0</v>
      </c>
      <c r="J33" s="97">
        <v>0</v>
      </c>
      <c r="K33" s="97">
        <v>1355</v>
      </c>
      <c r="L33" s="97">
        <v>4</v>
      </c>
      <c r="M33" s="102">
        <f t="shared" si="4"/>
        <v>1355</v>
      </c>
      <c r="N33" s="102">
        <f t="shared" si="4"/>
        <v>4</v>
      </c>
      <c r="O33" s="102">
        <f t="shared" si="7"/>
        <v>12</v>
      </c>
      <c r="P33" s="102">
        <f t="shared" si="8"/>
        <v>12</v>
      </c>
      <c r="Q33" s="97"/>
      <c r="R33" s="97">
        <v>1</v>
      </c>
      <c r="S33" s="97"/>
      <c r="T33" s="102">
        <f t="shared" si="5"/>
        <v>1</v>
      </c>
      <c r="U33" s="97">
        <v>0</v>
      </c>
      <c r="V33" s="97">
        <v>0</v>
      </c>
      <c r="W33" s="97"/>
      <c r="X33" s="97">
        <v>1</v>
      </c>
      <c r="Y33" s="97">
        <v>1</v>
      </c>
      <c r="Z33" s="136"/>
      <c r="AA33" s="136">
        <v>3</v>
      </c>
      <c r="AB33" s="136"/>
      <c r="AC33" s="132">
        <v>57.296</v>
      </c>
      <c r="AD33" s="97">
        <v>0</v>
      </c>
    </row>
    <row r="34" spans="1:30" ht="23.25" customHeight="1">
      <c r="A34" s="97">
        <v>28</v>
      </c>
      <c r="B34" s="103" t="s">
        <v>1019</v>
      </c>
      <c r="C34" s="97"/>
      <c r="D34" s="97"/>
      <c r="E34" s="97" t="s">
        <v>150</v>
      </c>
      <c r="F34" s="97"/>
      <c r="G34" s="97">
        <v>0.545</v>
      </c>
      <c r="H34" s="102">
        <f t="shared" si="6"/>
        <v>0.545</v>
      </c>
      <c r="I34" s="117">
        <v>0</v>
      </c>
      <c r="J34" s="97">
        <v>0</v>
      </c>
      <c r="K34" s="97">
        <v>300</v>
      </c>
      <c r="L34" s="97">
        <v>2</v>
      </c>
      <c r="M34" s="102">
        <f t="shared" si="4"/>
        <v>300</v>
      </c>
      <c r="N34" s="102">
        <f t="shared" si="4"/>
        <v>2</v>
      </c>
      <c r="O34" s="102">
        <f t="shared" si="7"/>
        <v>6</v>
      </c>
      <c r="P34" s="102">
        <f t="shared" si="8"/>
        <v>6</v>
      </c>
      <c r="Q34" s="97"/>
      <c r="R34" s="97">
        <v>1</v>
      </c>
      <c r="S34" s="97"/>
      <c r="T34" s="102">
        <f t="shared" si="5"/>
        <v>1</v>
      </c>
      <c r="U34" s="97">
        <v>0</v>
      </c>
      <c r="V34" s="97">
        <v>0</v>
      </c>
      <c r="W34" s="97"/>
      <c r="X34" s="97">
        <v>1</v>
      </c>
      <c r="Y34" s="97">
        <v>1</v>
      </c>
      <c r="Z34" s="136"/>
      <c r="AA34" s="136">
        <v>3</v>
      </c>
      <c r="AB34" s="136"/>
      <c r="AC34" s="132">
        <v>10.696</v>
      </c>
      <c r="AD34" s="97">
        <v>0</v>
      </c>
    </row>
    <row r="35" spans="1:30" ht="23.25" customHeight="1">
      <c r="A35" s="102">
        <v>29</v>
      </c>
      <c r="B35" s="103" t="s">
        <v>1020</v>
      </c>
      <c r="C35" s="97"/>
      <c r="D35" s="97"/>
      <c r="E35" s="97" t="s">
        <v>150</v>
      </c>
      <c r="F35" s="97"/>
      <c r="G35" s="97">
        <v>4.265</v>
      </c>
      <c r="H35" s="102">
        <f t="shared" si="6"/>
        <v>4.265</v>
      </c>
      <c r="I35" s="117">
        <v>0</v>
      </c>
      <c r="J35" s="97">
        <v>0</v>
      </c>
      <c r="K35" s="97">
        <v>550</v>
      </c>
      <c r="L35" s="97">
        <v>3</v>
      </c>
      <c r="M35" s="102">
        <f t="shared" si="4"/>
        <v>550</v>
      </c>
      <c r="N35" s="102">
        <f t="shared" si="4"/>
        <v>3</v>
      </c>
      <c r="O35" s="102">
        <f t="shared" si="7"/>
        <v>9</v>
      </c>
      <c r="P35" s="102">
        <f t="shared" si="8"/>
        <v>9</v>
      </c>
      <c r="Q35" s="97"/>
      <c r="R35" s="97">
        <v>1</v>
      </c>
      <c r="S35" s="97"/>
      <c r="T35" s="102">
        <f t="shared" si="5"/>
        <v>1</v>
      </c>
      <c r="U35" s="97">
        <v>0</v>
      </c>
      <c r="V35" s="97">
        <v>0</v>
      </c>
      <c r="W35" s="97"/>
      <c r="X35" s="97">
        <v>1</v>
      </c>
      <c r="Y35" s="97">
        <v>1</v>
      </c>
      <c r="Z35" s="136"/>
      <c r="AA35" s="136">
        <v>3</v>
      </c>
      <c r="AB35" s="136"/>
      <c r="AC35" s="132">
        <v>20.392</v>
      </c>
      <c r="AD35" s="97">
        <v>0</v>
      </c>
    </row>
    <row r="36" spans="1:30" ht="23.25" customHeight="1">
      <c r="A36" s="102">
        <v>30</v>
      </c>
      <c r="B36" s="103" t="s">
        <v>1021</v>
      </c>
      <c r="C36" s="97"/>
      <c r="D36" s="97"/>
      <c r="E36" s="97" t="s">
        <v>150</v>
      </c>
      <c r="F36" s="97"/>
      <c r="G36" s="97">
        <v>9.644</v>
      </c>
      <c r="H36" s="102">
        <f t="shared" si="6"/>
        <v>9.644</v>
      </c>
      <c r="I36" s="117">
        <v>0</v>
      </c>
      <c r="J36" s="97">
        <v>0</v>
      </c>
      <c r="K36" s="97">
        <v>300</v>
      </c>
      <c r="L36" s="97">
        <v>4</v>
      </c>
      <c r="M36" s="102">
        <f t="shared" si="4"/>
        <v>300</v>
      </c>
      <c r="N36" s="102">
        <f t="shared" si="4"/>
        <v>4</v>
      </c>
      <c r="O36" s="102">
        <f t="shared" si="7"/>
        <v>12</v>
      </c>
      <c r="P36" s="102">
        <f t="shared" si="8"/>
        <v>12</v>
      </c>
      <c r="Q36" s="97"/>
      <c r="R36" s="97">
        <v>1</v>
      </c>
      <c r="S36" s="97"/>
      <c r="T36" s="102">
        <f t="shared" si="5"/>
        <v>1</v>
      </c>
      <c r="U36" s="97">
        <v>0</v>
      </c>
      <c r="V36" s="97">
        <v>0</v>
      </c>
      <c r="W36" s="97"/>
      <c r="X36" s="97">
        <v>1</v>
      </c>
      <c r="Y36" s="97">
        <v>1</v>
      </c>
      <c r="Z36" s="136"/>
      <c r="AA36" s="136">
        <v>3</v>
      </c>
      <c r="AB36" s="136"/>
      <c r="AC36" s="132">
        <v>70.464</v>
      </c>
      <c r="AD36" s="97">
        <v>0</v>
      </c>
    </row>
    <row r="37" spans="1:30" ht="23.25" customHeight="1">
      <c r="A37" s="102">
        <v>31</v>
      </c>
      <c r="B37" s="103" t="s">
        <v>1022</v>
      </c>
      <c r="C37" s="97"/>
      <c r="D37" s="97"/>
      <c r="E37" s="97" t="s">
        <v>150</v>
      </c>
      <c r="F37" s="97"/>
      <c r="G37" s="97">
        <v>6.998</v>
      </c>
      <c r="H37" s="102">
        <f t="shared" si="6"/>
        <v>6.998</v>
      </c>
      <c r="I37" s="117">
        <v>0</v>
      </c>
      <c r="J37" s="97">
        <v>0</v>
      </c>
      <c r="K37" s="97">
        <v>4000</v>
      </c>
      <c r="L37" s="97">
        <v>2</v>
      </c>
      <c r="M37" s="102">
        <f t="shared" si="4"/>
        <v>4000</v>
      </c>
      <c r="N37" s="102">
        <f t="shared" si="4"/>
        <v>2</v>
      </c>
      <c r="O37" s="102">
        <f t="shared" si="7"/>
        <v>6</v>
      </c>
      <c r="P37" s="102">
        <f t="shared" si="8"/>
        <v>6</v>
      </c>
      <c r="Q37" s="97"/>
      <c r="R37" s="97">
        <v>1</v>
      </c>
      <c r="S37" s="97"/>
      <c r="T37" s="102">
        <f t="shared" si="5"/>
        <v>1</v>
      </c>
      <c r="U37" s="97">
        <v>0</v>
      </c>
      <c r="V37" s="97">
        <v>0</v>
      </c>
      <c r="W37" s="97"/>
      <c r="X37" s="97">
        <v>1</v>
      </c>
      <c r="Y37" s="97">
        <v>1</v>
      </c>
      <c r="Z37" s="136"/>
      <c r="AA37" s="136">
        <v>3</v>
      </c>
      <c r="AB37" s="136"/>
      <c r="AC37" s="132">
        <v>0</v>
      </c>
      <c r="AD37" s="97">
        <v>0</v>
      </c>
    </row>
    <row r="38" spans="1:30" ht="23.25" customHeight="1">
      <c r="A38" s="102">
        <v>32</v>
      </c>
      <c r="B38" s="97" t="s">
        <v>1023</v>
      </c>
      <c r="C38" s="97" t="s">
        <v>150</v>
      </c>
      <c r="D38" s="97"/>
      <c r="E38" s="97"/>
      <c r="F38" s="97">
        <v>0.39</v>
      </c>
      <c r="G38" s="97"/>
      <c r="H38" s="102">
        <f t="shared" si="6"/>
        <v>0.39</v>
      </c>
      <c r="I38" s="117">
        <v>0</v>
      </c>
      <c r="J38" s="97">
        <v>0</v>
      </c>
      <c r="K38" s="97">
        <v>0</v>
      </c>
      <c r="L38" s="97">
        <v>0</v>
      </c>
      <c r="M38" s="102">
        <f t="shared" si="4"/>
        <v>0</v>
      </c>
      <c r="N38" s="102">
        <f t="shared" si="4"/>
        <v>0</v>
      </c>
      <c r="O38" s="102">
        <f t="shared" si="7"/>
        <v>0</v>
      </c>
      <c r="P38" s="102">
        <f t="shared" si="8"/>
        <v>0</v>
      </c>
      <c r="Q38" s="97"/>
      <c r="R38" s="97">
        <v>1</v>
      </c>
      <c r="S38" s="97"/>
      <c r="T38" s="102">
        <f t="shared" si="5"/>
        <v>1</v>
      </c>
      <c r="U38" s="97">
        <v>0</v>
      </c>
      <c r="V38" s="97">
        <v>0</v>
      </c>
      <c r="W38" s="97"/>
      <c r="X38" s="97">
        <v>1</v>
      </c>
      <c r="Y38" s="97">
        <v>1</v>
      </c>
      <c r="Z38" s="136"/>
      <c r="AA38" s="136">
        <v>3</v>
      </c>
      <c r="AB38" s="136"/>
      <c r="AC38" s="132">
        <v>0</v>
      </c>
      <c r="AD38" s="97">
        <v>0</v>
      </c>
    </row>
    <row r="39" spans="1:30" ht="23.25" customHeight="1">
      <c r="A39" s="106" t="s">
        <v>209</v>
      </c>
      <c r="B39" s="107"/>
      <c r="C39" s="95">
        <v>5</v>
      </c>
      <c r="D39" s="95">
        <v>14</v>
      </c>
      <c r="E39" s="95">
        <v>13</v>
      </c>
      <c r="F39" s="108">
        <f>SUM(F7:F38)</f>
        <v>1344.2509999999997</v>
      </c>
      <c r="G39" s="108">
        <f aca="true" t="shared" si="9" ref="G39:AC39">SUM(G7:G38)</f>
        <v>99.31300000000002</v>
      </c>
      <c r="H39" s="108">
        <f t="shared" si="9"/>
        <v>1443.5640000000003</v>
      </c>
      <c r="I39" s="119">
        <f t="shared" si="9"/>
        <v>64558</v>
      </c>
      <c r="J39" s="120">
        <f t="shared" si="9"/>
        <v>829</v>
      </c>
      <c r="K39" s="120">
        <f t="shared" si="9"/>
        <v>76550</v>
      </c>
      <c r="L39" s="120">
        <f t="shared" si="9"/>
        <v>416</v>
      </c>
      <c r="M39" s="120">
        <f t="shared" si="9"/>
        <v>141108</v>
      </c>
      <c r="N39" s="120">
        <f t="shared" si="9"/>
        <v>1245</v>
      </c>
      <c r="O39" s="120">
        <f t="shared" si="9"/>
        <v>4016</v>
      </c>
      <c r="P39" s="120">
        <f t="shared" si="9"/>
        <v>3738</v>
      </c>
      <c r="Q39" s="120">
        <f t="shared" si="9"/>
        <v>0</v>
      </c>
      <c r="R39" s="120">
        <f t="shared" si="9"/>
        <v>66</v>
      </c>
      <c r="S39" s="120">
        <f t="shared" si="9"/>
        <v>0</v>
      </c>
      <c r="T39" s="120">
        <f t="shared" si="9"/>
        <v>66</v>
      </c>
      <c r="U39" s="120">
        <f t="shared" si="9"/>
        <v>440</v>
      </c>
      <c r="V39" s="120">
        <f t="shared" si="9"/>
        <v>5</v>
      </c>
      <c r="W39" s="120">
        <f t="shared" si="9"/>
        <v>33</v>
      </c>
      <c r="X39" s="120">
        <f t="shared" si="9"/>
        <v>858</v>
      </c>
      <c r="Y39" s="120">
        <f t="shared" si="9"/>
        <v>14</v>
      </c>
      <c r="Z39" s="120">
        <f t="shared" si="9"/>
        <v>0</v>
      </c>
      <c r="AA39" s="120">
        <f t="shared" si="9"/>
        <v>1248</v>
      </c>
      <c r="AB39" s="120">
        <f t="shared" si="9"/>
        <v>0</v>
      </c>
      <c r="AC39" s="137">
        <f t="shared" si="9"/>
        <v>14839.45</v>
      </c>
      <c r="AD39" s="138">
        <v>0.0925</v>
      </c>
    </row>
    <row r="40" spans="1:30" ht="23.25" customHeight="1">
      <c r="A40" s="109"/>
      <c r="B40" s="110" t="s">
        <v>1024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39"/>
    </row>
    <row r="41" spans="1:30" ht="23.25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40"/>
    </row>
    <row r="42" spans="1:30" ht="23.25" customHeight="1">
      <c r="A42" s="93"/>
      <c r="B42" s="114" t="s">
        <v>176</v>
      </c>
      <c r="C42" s="114"/>
      <c r="D42" s="114"/>
      <c r="E42" s="114"/>
      <c r="F42" s="93"/>
      <c r="G42" s="114"/>
      <c r="H42" s="114"/>
      <c r="I42" s="114"/>
      <c r="J42" s="93"/>
      <c r="K42" s="93"/>
      <c r="L42" s="114" t="s">
        <v>177</v>
      </c>
      <c r="M42" s="114"/>
      <c r="N42" s="114"/>
      <c r="O42" s="114"/>
      <c r="P42" s="93"/>
      <c r="Q42" s="93"/>
      <c r="R42" s="114"/>
      <c r="S42" s="114"/>
      <c r="T42" s="114"/>
      <c r="U42" s="114"/>
      <c r="V42" s="93"/>
      <c r="W42" s="114" t="s">
        <v>211</v>
      </c>
      <c r="X42" s="114"/>
      <c r="Y42" s="114"/>
      <c r="Z42" s="114"/>
      <c r="AA42" s="93"/>
      <c r="AB42" s="114"/>
      <c r="AC42" s="114"/>
      <c r="AD42" s="114"/>
    </row>
  </sheetData>
  <sheetProtection/>
  <mergeCells count="36">
    <mergeCell ref="A1:AD1"/>
    <mergeCell ref="A2:B2"/>
    <mergeCell ref="E2:H2"/>
    <mergeCell ref="V2:Y2"/>
    <mergeCell ref="AA2:AC2"/>
    <mergeCell ref="C3:E3"/>
    <mergeCell ref="F3:H3"/>
    <mergeCell ref="I3:N3"/>
    <mergeCell ref="Q3:T3"/>
    <mergeCell ref="U3:V3"/>
    <mergeCell ref="W3:Y3"/>
    <mergeCell ref="AA3:AB3"/>
    <mergeCell ref="A39:B39"/>
    <mergeCell ref="B42:E42"/>
    <mergeCell ref="G42:I42"/>
    <mergeCell ref="L42:O42"/>
    <mergeCell ref="R42:U42"/>
    <mergeCell ref="W42:Z42"/>
    <mergeCell ref="AB42:AD42"/>
    <mergeCell ref="B3:B6"/>
    <mergeCell ref="C4:C6"/>
    <mergeCell ref="D4:D6"/>
    <mergeCell ref="E4:E6"/>
    <mergeCell ref="Q4:Q6"/>
    <mergeCell ref="R4:R6"/>
    <mergeCell ref="S4:S6"/>
    <mergeCell ref="T4:T6"/>
    <mergeCell ref="W4:W5"/>
    <mergeCell ref="AD5:AD6"/>
    <mergeCell ref="B40:AD41"/>
    <mergeCell ref="I4:J5"/>
    <mergeCell ref="K4:L5"/>
    <mergeCell ref="M4:N5"/>
    <mergeCell ref="U4:V5"/>
    <mergeCell ref="AA4:AB5"/>
    <mergeCell ref="F4:H5"/>
  </mergeCells>
  <printOptions horizontalCentered="1" verticalCentered="1"/>
  <pageMargins left="0.5895833333333333" right="0.42986111111111114" top="0.9395833333333333" bottom="0.8694444444444445" header="0.38958333333333334" footer="0.5097222222222222"/>
  <pageSetup horizontalDpi="360" verticalDpi="360" orientation="landscape" paperSize="8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46"/>
  <sheetViews>
    <sheetView zoomScale="75" zoomScaleNormal="75" workbookViewId="0" topLeftCell="A22">
      <selection activeCell="A1" sqref="A1:AD1"/>
    </sheetView>
  </sheetViews>
  <sheetFormatPr defaultColWidth="9.00390625" defaultRowHeight="14.25"/>
  <cols>
    <col min="1" max="1" width="3.125" style="46" customWidth="1"/>
    <col min="2" max="2" width="14.25390625" style="46" customWidth="1"/>
    <col min="3" max="5" width="4.25390625" style="46" customWidth="1"/>
    <col min="6" max="6" width="7.375" style="46" customWidth="1"/>
    <col min="7" max="7" width="5.375" style="46" customWidth="1"/>
    <col min="8" max="8" width="8.00390625" style="46" customWidth="1"/>
    <col min="9" max="9" width="6.50390625" style="46" customWidth="1"/>
    <col min="10" max="10" width="4.25390625" style="46" customWidth="1"/>
    <col min="11" max="11" width="6.125" style="46" customWidth="1"/>
    <col min="12" max="12" width="4.50390625" style="46" customWidth="1"/>
    <col min="13" max="13" width="6.875" style="46" customWidth="1"/>
    <col min="14" max="14" width="5.50390625" style="46" bestFit="1" customWidth="1"/>
    <col min="15" max="15" width="5.625" style="46" customWidth="1"/>
    <col min="16" max="16" width="5.25390625" style="46" customWidth="1"/>
    <col min="17" max="17" width="3.75390625" style="46" customWidth="1"/>
    <col min="18" max="18" width="4.00390625" style="46" customWidth="1"/>
    <col min="19" max="19" width="3.625" style="46" customWidth="1"/>
    <col min="20" max="20" width="6.00390625" style="46" customWidth="1"/>
    <col min="21" max="21" width="6.875" style="46" customWidth="1"/>
    <col min="22" max="22" width="5.375" style="46" customWidth="1"/>
    <col min="23" max="24" width="6.75390625" style="46" customWidth="1"/>
    <col min="25" max="25" width="6.375" style="46" customWidth="1"/>
    <col min="26" max="27" width="6.50390625" style="46" customWidth="1"/>
    <col min="28" max="28" width="5.875" style="46" customWidth="1"/>
    <col min="29" max="29" width="12.25390625" style="46" customWidth="1"/>
    <col min="30" max="30" width="10.875" style="46" customWidth="1"/>
    <col min="31" max="31" width="4.375" style="46" customWidth="1"/>
    <col min="32" max="16384" width="9.00390625" style="46" customWidth="1"/>
  </cols>
  <sheetData>
    <row r="1" spans="1:30" ht="21">
      <c r="A1" s="74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8" ht="15">
      <c r="A2" s="46" t="s">
        <v>1025</v>
      </c>
      <c r="V2" s="46" t="s">
        <v>1026</v>
      </c>
      <c r="AB2" s="46" t="s">
        <v>101</v>
      </c>
    </row>
    <row r="3" spans="1:30" s="45" customFormat="1" ht="15">
      <c r="A3" s="51" t="s">
        <v>102</v>
      </c>
      <c r="B3" s="52" t="s">
        <v>103</v>
      </c>
      <c r="C3" s="52" t="s">
        <v>104</v>
      </c>
      <c r="D3" s="52"/>
      <c r="E3" s="52"/>
      <c r="F3" s="53" t="s">
        <v>105</v>
      </c>
      <c r="G3" s="52"/>
      <c r="H3" s="52"/>
      <c r="I3" s="52" t="s">
        <v>106</v>
      </c>
      <c r="J3" s="52"/>
      <c r="K3" s="52"/>
      <c r="L3" s="52"/>
      <c r="M3" s="52"/>
      <c r="N3" s="52"/>
      <c r="O3" s="51" t="s">
        <v>107</v>
      </c>
      <c r="P3" s="51" t="s">
        <v>108</v>
      </c>
      <c r="Q3" s="59" t="s">
        <v>109</v>
      </c>
      <c r="R3" s="69"/>
      <c r="S3" s="69"/>
      <c r="T3" s="53"/>
      <c r="U3" s="52" t="s">
        <v>110</v>
      </c>
      <c r="V3" s="52"/>
      <c r="W3" s="59" t="s">
        <v>111</v>
      </c>
      <c r="X3" s="69"/>
      <c r="Y3" s="53"/>
      <c r="Z3" s="51" t="s">
        <v>112</v>
      </c>
      <c r="AA3" s="52" t="s">
        <v>113</v>
      </c>
      <c r="AB3" s="52"/>
      <c r="AC3" s="51" t="s">
        <v>114</v>
      </c>
      <c r="AD3" s="51" t="s">
        <v>115</v>
      </c>
    </row>
    <row r="4" spans="1:30" s="45" customFormat="1" ht="15.75" customHeight="1">
      <c r="A4" s="54"/>
      <c r="B4" s="52"/>
      <c r="C4" s="52" t="s">
        <v>116</v>
      </c>
      <c r="D4" s="52" t="s">
        <v>117</v>
      </c>
      <c r="E4" s="52" t="s">
        <v>118</v>
      </c>
      <c r="F4" s="55" t="s">
        <v>119</v>
      </c>
      <c r="G4" s="56"/>
      <c r="H4" s="56"/>
      <c r="I4" s="52" t="s">
        <v>120</v>
      </c>
      <c r="J4" s="52"/>
      <c r="K4" s="52" t="s">
        <v>121</v>
      </c>
      <c r="L4" s="52"/>
      <c r="M4" s="52" t="s">
        <v>122</v>
      </c>
      <c r="N4" s="52"/>
      <c r="O4" s="54"/>
      <c r="P4" s="66" t="s">
        <v>123</v>
      </c>
      <c r="Q4" s="51"/>
      <c r="R4" s="51"/>
      <c r="S4" s="51"/>
      <c r="T4" s="51"/>
      <c r="U4" s="52" t="s">
        <v>124</v>
      </c>
      <c r="V4" s="52"/>
      <c r="W4" s="51" t="s">
        <v>125</v>
      </c>
      <c r="X4" s="51" t="s">
        <v>126</v>
      </c>
      <c r="Y4" s="51" t="s">
        <v>126</v>
      </c>
      <c r="Z4" s="54" t="s">
        <v>127</v>
      </c>
      <c r="AA4" s="52" t="s">
        <v>128</v>
      </c>
      <c r="AB4" s="52"/>
      <c r="AC4" s="57" t="s">
        <v>129</v>
      </c>
      <c r="AD4" s="57" t="s">
        <v>130</v>
      </c>
    </row>
    <row r="5" spans="1:30" s="45" customFormat="1" ht="15.75" customHeight="1">
      <c r="A5" s="54"/>
      <c r="B5" s="52"/>
      <c r="C5" s="52"/>
      <c r="D5" s="52"/>
      <c r="E5" s="52"/>
      <c r="F5" s="55"/>
      <c r="G5" s="56"/>
      <c r="H5" s="56"/>
      <c r="I5" s="52"/>
      <c r="J5" s="52"/>
      <c r="K5" s="52"/>
      <c r="L5" s="52"/>
      <c r="M5" s="52"/>
      <c r="N5" s="52"/>
      <c r="O5" s="57" t="s">
        <v>131</v>
      </c>
      <c r="P5" s="64" t="s">
        <v>132</v>
      </c>
      <c r="Q5" s="54"/>
      <c r="R5" s="54" t="s">
        <v>133</v>
      </c>
      <c r="S5" s="54"/>
      <c r="T5" s="54"/>
      <c r="U5" s="52"/>
      <c r="V5" s="52"/>
      <c r="W5" s="54"/>
      <c r="X5" s="54"/>
      <c r="Y5" s="54"/>
      <c r="Z5" s="57" t="s">
        <v>134</v>
      </c>
      <c r="AA5" s="52"/>
      <c r="AB5" s="52"/>
      <c r="AC5" s="51" t="s">
        <v>135</v>
      </c>
      <c r="AD5" s="71" t="s">
        <v>136</v>
      </c>
    </row>
    <row r="6" spans="1:30" s="45" customFormat="1" ht="15">
      <c r="A6" s="57" t="s">
        <v>137</v>
      </c>
      <c r="B6" s="52"/>
      <c r="C6" s="52"/>
      <c r="D6" s="52"/>
      <c r="E6" s="52"/>
      <c r="F6" s="53" t="s">
        <v>120</v>
      </c>
      <c r="G6" s="52" t="s">
        <v>121</v>
      </c>
      <c r="H6" s="52" t="s">
        <v>122</v>
      </c>
      <c r="I6" s="52" t="s">
        <v>138</v>
      </c>
      <c r="J6" s="52" t="s">
        <v>139</v>
      </c>
      <c r="K6" s="52" t="s">
        <v>138</v>
      </c>
      <c r="L6" s="52" t="s">
        <v>139</v>
      </c>
      <c r="M6" s="52" t="s">
        <v>138</v>
      </c>
      <c r="N6" s="52" t="s">
        <v>139</v>
      </c>
      <c r="O6" s="52" t="s">
        <v>128</v>
      </c>
      <c r="P6" s="52" t="s">
        <v>128</v>
      </c>
      <c r="Q6" s="70" t="s">
        <v>140</v>
      </c>
      <c r="R6" s="57" t="s">
        <v>141</v>
      </c>
      <c r="S6" s="57" t="s">
        <v>142</v>
      </c>
      <c r="T6" s="57" t="s">
        <v>122</v>
      </c>
      <c r="U6" s="52" t="s">
        <v>138</v>
      </c>
      <c r="V6" s="52" t="s">
        <v>139</v>
      </c>
      <c r="W6" s="57"/>
      <c r="X6" s="57" t="s">
        <v>143</v>
      </c>
      <c r="Y6" s="57" t="s">
        <v>144</v>
      </c>
      <c r="Z6" s="52" t="s">
        <v>145</v>
      </c>
      <c r="AA6" s="56" t="s">
        <v>146</v>
      </c>
      <c r="AB6" s="56" t="s">
        <v>147</v>
      </c>
      <c r="AC6" s="57" t="s">
        <v>148</v>
      </c>
      <c r="AD6" s="70"/>
    </row>
    <row r="7" spans="1:30" ht="21.75" customHeight="1">
      <c r="A7" s="57">
        <v>1</v>
      </c>
      <c r="B7" s="75" t="s">
        <v>1027</v>
      </c>
      <c r="C7" s="75" t="s">
        <v>150</v>
      </c>
      <c r="D7" s="75"/>
      <c r="E7" s="75"/>
      <c r="F7" s="75">
        <f>7.05+1.7+1.85</f>
        <v>10.6</v>
      </c>
      <c r="G7" s="75">
        <v>0</v>
      </c>
      <c r="H7" s="57">
        <f>F7+G7</f>
        <v>10.6</v>
      </c>
      <c r="I7" s="57">
        <v>6220</v>
      </c>
      <c r="J7" s="57">
        <v>23</v>
      </c>
      <c r="K7" s="57">
        <v>3095</v>
      </c>
      <c r="L7" s="57">
        <v>14</v>
      </c>
      <c r="M7" s="57">
        <f>I7+K7</f>
        <v>9315</v>
      </c>
      <c r="N7" s="57">
        <f>J7+L7</f>
        <v>37</v>
      </c>
      <c r="O7" s="57">
        <v>111</v>
      </c>
      <c r="P7" s="57">
        <v>114</v>
      </c>
      <c r="Q7" s="75">
        <v>2</v>
      </c>
      <c r="R7" s="75">
        <v>4</v>
      </c>
      <c r="S7" s="75">
        <v>0</v>
      </c>
      <c r="T7" s="57">
        <f>SUM(Q7:S7)</f>
        <v>6</v>
      </c>
      <c r="U7" s="57"/>
      <c r="V7" s="57"/>
      <c r="W7" s="57"/>
      <c r="X7" s="57">
        <v>23</v>
      </c>
      <c r="Y7" s="57"/>
      <c r="Z7" s="57">
        <v>23</v>
      </c>
      <c r="AA7" s="57">
        <v>69</v>
      </c>
      <c r="AB7" s="57"/>
      <c r="AC7" s="52">
        <v>1475.0635</v>
      </c>
      <c r="AD7" s="86">
        <v>10.983140376266281</v>
      </c>
    </row>
    <row r="8" spans="1:30" ht="21.75" customHeight="1">
      <c r="A8" s="52">
        <v>2</v>
      </c>
      <c r="B8" s="76" t="s">
        <v>1028</v>
      </c>
      <c r="C8" s="75" t="s">
        <v>150</v>
      </c>
      <c r="D8" s="75"/>
      <c r="E8" s="75"/>
      <c r="F8" s="76">
        <f>8.42+1</f>
        <v>9.42</v>
      </c>
      <c r="G8" s="75">
        <v>0</v>
      </c>
      <c r="H8" s="57">
        <f aca="true" t="shared" si="0" ref="H8:H41">F8+G8</f>
        <v>9.42</v>
      </c>
      <c r="I8" s="52">
        <v>4835</v>
      </c>
      <c r="J8" s="52">
        <v>24</v>
      </c>
      <c r="K8" s="52">
        <v>4850</v>
      </c>
      <c r="L8" s="52">
        <v>25</v>
      </c>
      <c r="M8" s="57">
        <f aca="true" t="shared" si="1" ref="M8:N41">I8+K8</f>
        <v>9685</v>
      </c>
      <c r="N8" s="57">
        <f t="shared" si="1"/>
        <v>49</v>
      </c>
      <c r="O8" s="52">
        <v>147</v>
      </c>
      <c r="P8" s="52">
        <v>153</v>
      </c>
      <c r="Q8" s="75">
        <v>4</v>
      </c>
      <c r="R8" s="75">
        <v>2</v>
      </c>
      <c r="S8" s="75">
        <v>0</v>
      </c>
      <c r="T8" s="57">
        <f aca="true" t="shared" si="2" ref="T8:T41">SUM(Q8:S8)</f>
        <v>6</v>
      </c>
      <c r="U8" s="57"/>
      <c r="V8" s="52"/>
      <c r="W8" s="52"/>
      <c r="X8" s="52">
        <v>24</v>
      </c>
      <c r="Y8" s="52"/>
      <c r="Z8" s="52">
        <v>24</v>
      </c>
      <c r="AA8" s="57">
        <v>72</v>
      </c>
      <c r="AB8" s="52"/>
      <c r="AC8" s="52">
        <v>1125.5563</v>
      </c>
      <c r="AD8" s="86">
        <v>9.821505405260044</v>
      </c>
    </row>
    <row r="9" spans="1:30" ht="21.75" customHeight="1">
      <c r="A9" s="57">
        <v>3</v>
      </c>
      <c r="B9" s="76" t="s">
        <v>1029</v>
      </c>
      <c r="C9" s="75" t="s">
        <v>150</v>
      </c>
      <c r="D9" s="75"/>
      <c r="E9" s="75"/>
      <c r="F9" s="76">
        <f>1+5.42</f>
        <v>6.42</v>
      </c>
      <c r="G9" s="75">
        <v>0</v>
      </c>
      <c r="H9" s="57">
        <f t="shared" si="0"/>
        <v>6.42</v>
      </c>
      <c r="I9" s="52">
        <v>4225</v>
      </c>
      <c r="J9" s="52">
        <v>23</v>
      </c>
      <c r="K9" s="52">
        <v>3515</v>
      </c>
      <c r="L9" s="52">
        <v>18</v>
      </c>
      <c r="M9" s="57">
        <f t="shared" si="1"/>
        <v>7740</v>
      </c>
      <c r="N9" s="57">
        <f t="shared" si="1"/>
        <v>41</v>
      </c>
      <c r="O9" s="52">
        <v>123</v>
      </c>
      <c r="P9" s="52">
        <v>129</v>
      </c>
      <c r="Q9" s="75">
        <v>0</v>
      </c>
      <c r="R9" s="75">
        <v>2</v>
      </c>
      <c r="S9" s="75">
        <v>0</v>
      </c>
      <c r="T9" s="57">
        <f t="shared" si="2"/>
        <v>2</v>
      </c>
      <c r="U9" s="57"/>
      <c r="V9" s="52"/>
      <c r="W9" s="52"/>
      <c r="X9" s="52">
        <v>23</v>
      </c>
      <c r="Y9" s="52"/>
      <c r="Z9" s="52">
        <v>23</v>
      </c>
      <c r="AA9" s="57">
        <v>69</v>
      </c>
      <c r="AB9" s="52"/>
      <c r="AC9" s="52">
        <v>1043.6513</v>
      </c>
      <c r="AD9" s="86">
        <v>12.849939838423193</v>
      </c>
    </row>
    <row r="10" spans="1:30" ht="21.75" customHeight="1">
      <c r="A10" s="57">
        <v>4</v>
      </c>
      <c r="B10" s="76" t="s">
        <v>1030</v>
      </c>
      <c r="C10" s="75"/>
      <c r="D10" s="76" t="s">
        <v>150</v>
      </c>
      <c r="E10" s="76"/>
      <c r="F10" s="76">
        <f>1+85.57+1.2</f>
        <v>87.77</v>
      </c>
      <c r="G10" s="76">
        <v>2</v>
      </c>
      <c r="H10" s="57">
        <f t="shared" si="0"/>
        <v>89.77</v>
      </c>
      <c r="I10" s="52">
        <v>3490</v>
      </c>
      <c r="J10" s="52">
        <v>58</v>
      </c>
      <c r="K10" s="52">
        <v>5555</v>
      </c>
      <c r="L10" s="52">
        <v>30</v>
      </c>
      <c r="M10" s="57">
        <f t="shared" si="1"/>
        <v>9045</v>
      </c>
      <c r="N10" s="57">
        <f t="shared" si="1"/>
        <v>88</v>
      </c>
      <c r="O10" s="52">
        <v>276</v>
      </c>
      <c r="P10" s="52">
        <v>285</v>
      </c>
      <c r="Q10" s="75">
        <v>0</v>
      </c>
      <c r="R10" s="76">
        <v>7</v>
      </c>
      <c r="S10" s="75">
        <v>0</v>
      </c>
      <c r="T10" s="57">
        <f t="shared" si="2"/>
        <v>7</v>
      </c>
      <c r="U10" s="57"/>
      <c r="V10" s="52"/>
      <c r="W10" s="52"/>
      <c r="X10" s="52">
        <v>58</v>
      </c>
      <c r="Y10" s="52"/>
      <c r="Z10" s="52">
        <v>58</v>
      </c>
      <c r="AA10" s="57">
        <v>174</v>
      </c>
      <c r="AB10" s="52"/>
      <c r="AC10" s="52">
        <v>506.9407</v>
      </c>
      <c r="AD10" s="86">
        <v>10.554373517809879</v>
      </c>
    </row>
    <row r="11" spans="1:30" ht="21.75" customHeight="1">
      <c r="A11" s="52">
        <v>5</v>
      </c>
      <c r="B11" s="77" t="s">
        <v>1031</v>
      </c>
      <c r="C11" s="75" t="s">
        <v>150</v>
      </c>
      <c r="D11" s="76"/>
      <c r="E11" s="76"/>
      <c r="F11" s="76">
        <v>3.95</v>
      </c>
      <c r="G11" s="76">
        <v>0</v>
      </c>
      <c r="H11" s="57">
        <f t="shared" si="0"/>
        <v>3.95</v>
      </c>
      <c r="I11" s="52">
        <v>4480</v>
      </c>
      <c r="J11" s="52">
        <v>11</v>
      </c>
      <c r="K11" s="52">
        <v>2375</v>
      </c>
      <c r="L11" s="52">
        <v>6</v>
      </c>
      <c r="M11" s="57">
        <f t="shared" si="1"/>
        <v>6855</v>
      </c>
      <c r="N11" s="57">
        <f t="shared" si="1"/>
        <v>17</v>
      </c>
      <c r="O11" s="52">
        <v>51</v>
      </c>
      <c r="P11" s="52">
        <v>51</v>
      </c>
      <c r="Q11" s="75"/>
      <c r="R11" s="76">
        <v>4</v>
      </c>
      <c r="S11" s="75">
        <v>0</v>
      </c>
      <c r="T11" s="57">
        <f t="shared" si="2"/>
        <v>4</v>
      </c>
      <c r="U11" s="57"/>
      <c r="V11" s="52"/>
      <c r="W11" s="52"/>
      <c r="X11" s="52">
        <v>11</v>
      </c>
      <c r="Y11" s="52"/>
      <c r="Z11" s="52">
        <v>11</v>
      </c>
      <c r="AA11" s="57">
        <v>33</v>
      </c>
      <c r="AB11" s="52"/>
      <c r="AC11" s="52"/>
      <c r="AD11" s="86">
        <v>11.010913799482056</v>
      </c>
    </row>
    <row r="12" spans="1:30" ht="21.75" customHeight="1">
      <c r="A12" s="57">
        <v>6</v>
      </c>
      <c r="B12" s="76" t="s">
        <v>1032</v>
      </c>
      <c r="C12" s="75" t="s">
        <v>150</v>
      </c>
      <c r="D12" s="76"/>
      <c r="E12" s="76"/>
      <c r="F12" s="76">
        <v>4.56</v>
      </c>
      <c r="G12" s="76">
        <v>0</v>
      </c>
      <c r="H12" s="57">
        <f t="shared" si="0"/>
        <v>4.56</v>
      </c>
      <c r="I12" s="52">
        <v>1320</v>
      </c>
      <c r="J12" s="52">
        <v>9</v>
      </c>
      <c r="K12" s="52">
        <v>660</v>
      </c>
      <c r="L12" s="52">
        <v>2</v>
      </c>
      <c r="M12" s="57">
        <f t="shared" si="1"/>
        <v>1980</v>
      </c>
      <c r="N12" s="57">
        <f t="shared" si="1"/>
        <v>11</v>
      </c>
      <c r="O12" s="52">
        <v>33</v>
      </c>
      <c r="P12" s="52">
        <v>39</v>
      </c>
      <c r="Q12" s="75">
        <v>0</v>
      </c>
      <c r="R12" s="76">
        <v>2</v>
      </c>
      <c r="S12" s="75">
        <v>0</v>
      </c>
      <c r="T12" s="57">
        <f t="shared" si="2"/>
        <v>2</v>
      </c>
      <c r="U12" s="57"/>
      <c r="V12" s="52"/>
      <c r="W12" s="52"/>
      <c r="X12" s="52">
        <v>9</v>
      </c>
      <c r="Y12" s="52"/>
      <c r="Z12" s="52">
        <v>9</v>
      </c>
      <c r="AA12" s="57">
        <v>27</v>
      </c>
      <c r="AB12" s="52"/>
      <c r="AC12" s="52">
        <v>298.1846</v>
      </c>
      <c r="AD12" s="86">
        <v>9.653661443544712</v>
      </c>
    </row>
    <row r="13" spans="1:30" ht="21.75" customHeight="1">
      <c r="A13" s="57">
        <v>7</v>
      </c>
      <c r="B13" s="76" t="s">
        <v>1033</v>
      </c>
      <c r="C13" s="75"/>
      <c r="D13" s="76" t="s">
        <v>150</v>
      </c>
      <c r="E13" s="76"/>
      <c r="F13" s="76">
        <v>33.59</v>
      </c>
      <c r="G13" s="76">
        <v>0</v>
      </c>
      <c r="H13" s="57">
        <f t="shared" si="0"/>
        <v>33.59</v>
      </c>
      <c r="I13" s="52">
        <v>1180</v>
      </c>
      <c r="J13" s="52">
        <v>22</v>
      </c>
      <c r="K13" s="52">
        <v>1935</v>
      </c>
      <c r="L13" s="52">
        <v>9</v>
      </c>
      <c r="M13" s="57">
        <f t="shared" si="1"/>
        <v>3115</v>
      </c>
      <c r="N13" s="57">
        <f t="shared" si="1"/>
        <v>31</v>
      </c>
      <c r="O13" s="52">
        <v>99</v>
      </c>
      <c r="P13" s="52">
        <v>99</v>
      </c>
      <c r="Q13" s="75">
        <v>0</v>
      </c>
      <c r="R13" s="76">
        <v>2</v>
      </c>
      <c r="S13" s="75">
        <v>0</v>
      </c>
      <c r="T13" s="57">
        <f t="shared" si="2"/>
        <v>2</v>
      </c>
      <c r="U13" s="57"/>
      <c r="V13" s="52"/>
      <c r="W13" s="52"/>
      <c r="X13" s="52">
        <v>22</v>
      </c>
      <c r="Y13" s="52"/>
      <c r="Z13" s="52">
        <v>22</v>
      </c>
      <c r="AA13" s="57">
        <v>66</v>
      </c>
      <c r="AB13" s="52"/>
      <c r="AC13" s="52">
        <v>292.1204</v>
      </c>
      <c r="AD13" s="86">
        <v>10.802376910016978</v>
      </c>
    </row>
    <row r="14" spans="1:30" ht="21.75" customHeight="1">
      <c r="A14" s="52">
        <v>8</v>
      </c>
      <c r="B14" s="76" t="s">
        <v>1034</v>
      </c>
      <c r="C14" s="76"/>
      <c r="D14" s="76" t="s">
        <v>150</v>
      </c>
      <c r="E14" s="76"/>
      <c r="F14" s="76">
        <f>2.93+104.95+0.55</f>
        <v>108.43</v>
      </c>
      <c r="G14" s="76">
        <v>2</v>
      </c>
      <c r="H14" s="57">
        <f t="shared" si="0"/>
        <v>110.43</v>
      </c>
      <c r="I14" s="52">
        <v>3240</v>
      </c>
      <c r="J14" s="52">
        <v>53</v>
      </c>
      <c r="K14" s="52">
        <v>3750</v>
      </c>
      <c r="L14" s="52">
        <v>12</v>
      </c>
      <c r="M14" s="57">
        <f t="shared" si="1"/>
        <v>6990</v>
      </c>
      <c r="N14" s="57">
        <f t="shared" si="1"/>
        <v>65</v>
      </c>
      <c r="O14" s="52">
        <v>204</v>
      </c>
      <c r="P14" s="52">
        <v>219</v>
      </c>
      <c r="Q14" s="75">
        <v>0</v>
      </c>
      <c r="R14" s="76">
        <v>8</v>
      </c>
      <c r="S14" s="75">
        <v>0</v>
      </c>
      <c r="T14" s="57">
        <f t="shared" si="2"/>
        <v>8</v>
      </c>
      <c r="U14" s="57"/>
      <c r="V14" s="52"/>
      <c r="W14" s="52"/>
      <c r="X14" s="52">
        <v>53</v>
      </c>
      <c r="Y14" s="52"/>
      <c r="Z14" s="52">
        <v>53</v>
      </c>
      <c r="AA14" s="57">
        <v>159</v>
      </c>
      <c r="AB14" s="52"/>
      <c r="AC14" s="52">
        <v>466.6162</v>
      </c>
      <c r="AD14" s="86">
        <v>12.211250048693078</v>
      </c>
    </row>
    <row r="15" spans="1:30" ht="21.75" customHeight="1">
      <c r="A15" s="57">
        <v>9</v>
      </c>
      <c r="B15" s="76" t="s">
        <v>1035</v>
      </c>
      <c r="C15" s="76"/>
      <c r="D15" s="76" t="s">
        <v>150</v>
      </c>
      <c r="E15" s="76"/>
      <c r="F15" s="76">
        <f>4.8+63.51+0.6</f>
        <v>68.91</v>
      </c>
      <c r="G15" s="76">
        <v>0</v>
      </c>
      <c r="H15" s="57">
        <f t="shared" si="0"/>
        <v>68.91</v>
      </c>
      <c r="I15" s="52">
        <v>2910</v>
      </c>
      <c r="J15" s="52">
        <v>43</v>
      </c>
      <c r="K15" s="52">
        <v>970</v>
      </c>
      <c r="L15" s="52">
        <v>6</v>
      </c>
      <c r="M15" s="57">
        <f t="shared" si="1"/>
        <v>3880</v>
      </c>
      <c r="N15" s="57">
        <f t="shared" si="1"/>
        <v>49</v>
      </c>
      <c r="O15" s="52">
        <v>156</v>
      </c>
      <c r="P15" s="52">
        <v>153</v>
      </c>
      <c r="Q15" s="75">
        <v>0</v>
      </c>
      <c r="R15" s="76">
        <v>2</v>
      </c>
      <c r="S15" s="75">
        <v>0</v>
      </c>
      <c r="T15" s="57">
        <f t="shared" si="2"/>
        <v>2</v>
      </c>
      <c r="U15" s="57"/>
      <c r="V15" s="52"/>
      <c r="W15" s="52"/>
      <c r="X15" s="52">
        <v>43</v>
      </c>
      <c r="Y15" s="52"/>
      <c r="Z15" s="52">
        <v>43</v>
      </c>
      <c r="AA15" s="57">
        <v>129</v>
      </c>
      <c r="AB15" s="52"/>
      <c r="AC15" s="52">
        <v>256.8295</v>
      </c>
      <c r="AD15" s="86">
        <v>12.664624493739849</v>
      </c>
    </row>
    <row r="16" spans="1:30" ht="21.75" customHeight="1">
      <c r="A16" s="57">
        <v>10</v>
      </c>
      <c r="B16" s="76" t="s">
        <v>1036</v>
      </c>
      <c r="C16" s="76"/>
      <c r="D16" s="76" t="s">
        <v>150</v>
      </c>
      <c r="E16" s="76"/>
      <c r="F16" s="76">
        <v>23.51</v>
      </c>
      <c r="G16" s="76">
        <v>0</v>
      </c>
      <c r="H16" s="57">
        <f t="shared" si="0"/>
        <v>23.51</v>
      </c>
      <c r="I16" s="52">
        <v>610</v>
      </c>
      <c r="J16" s="52">
        <v>16</v>
      </c>
      <c r="K16" s="52">
        <v>530</v>
      </c>
      <c r="L16" s="52">
        <v>4</v>
      </c>
      <c r="M16" s="57">
        <f t="shared" si="1"/>
        <v>1140</v>
      </c>
      <c r="N16" s="57">
        <f t="shared" si="1"/>
        <v>20</v>
      </c>
      <c r="O16" s="52">
        <v>66</v>
      </c>
      <c r="P16" s="52">
        <v>60</v>
      </c>
      <c r="Q16" s="75">
        <v>0</v>
      </c>
      <c r="R16" s="76">
        <v>0</v>
      </c>
      <c r="S16" s="75">
        <v>0</v>
      </c>
      <c r="T16" s="57">
        <f t="shared" si="2"/>
        <v>0</v>
      </c>
      <c r="U16" s="57"/>
      <c r="V16" s="52"/>
      <c r="W16" s="52"/>
      <c r="X16" s="52">
        <v>16</v>
      </c>
      <c r="Y16" s="52"/>
      <c r="Z16" s="52">
        <v>16</v>
      </c>
      <c r="AA16" s="57">
        <v>48</v>
      </c>
      <c r="AB16" s="52"/>
      <c r="AC16" s="52">
        <v>88.1265</v>
      </c>
      <c r="AD16" s="86">
        <v>10.11937447773666</v>
      </c>
    </row>
    <row r="17" spans="1:30" ht="21.75" customHeight="1">
      <c r="A17" s="52">
        <v>11</v>
      </c>
      <c r="B17" s="76" t="s">
        <v>1037</v>
      </c>
      <c r="C17" s="76"/>
      <c r="D17" s="76" t="s">
        <v>150</v>
      </c>
      <c r="E17" s="76"/>
      <c r="F17" s="76">
        <f>0.4+26.78</f>
        <v>27.18</v>
      </c>
      <c r="G17" s="76">
        <v>4</v>
      </c>
      <c r="H17" s="57">
        <f t="shared" si="0"/>
        <v>31.18</v>
      </c>
      <c r="I17" s="52">
        <v>1425</v>
      </c>
      <c r="J17" s="52">
        <v>22</v>
      </c>
      <c r="K17" s="52">
        <v>1220</v>
      </c>
      <c r="L17" s="52">
        <v>5</v>
      </c>
      <c r="M17" s="57">
        <f t="shared" si="1"/>
        <v>2645</v>
      </c>
      <c r="N17" s="57">
        <f t="shared" si="1"/>
        <v>27</v>
      </c>
      <c r="O17" s="52">
        <v>87</v>
      </c>
      <c r="P17" s="52">
        <v>81</v>
      </c>
      <c r="Q17" s="75">
        <v>0</v>
      </c>
      <c r="R17" s="76">
        <v>0</v>
      </c>
      <c r="S17" s="75">
        <v>0</v>
      </c>
      <c r="T17" s="57">
        <f t="shared" si="2"/>
        <v>0</v>
      </c>
      <c r="U17" s="57"/>
      <c r="V17" s="52"/>
      <c r="W17" s="52"/>
      <c r="X17" s="52">
        <v>22</v>
      </c>
      <c r="Y17" s="52"/>
      <c r="Z17" s="52">
        <v>22</v>
      </c>
      <c r="AA17" s="57">
        <v>66</v>
      </c>
      <c r="AB17" s="52"/>
      <c r="AC17" s="52">
        <v>324.2506</v>
      </c>
      <c r="AD17" s="86">
        <v>11.293327275087627</v>
      </c>
    </row>
    <row r="18" spans="1:30" s="73" customFormat="1" ht="21.75" customHeight="1">
      <c r="A18" s="78">
        <v>12</v>
      </c>
      <c r="B18" s="76" t="s">
        <v>1038</v>
      </c>
      <c r="C18" s="76"/>
      <c r="D18" s="76" t="s">
        <v>150</v>
      </c>
      <c r="E18" s="76"/>
      <c r="F18" s="76">
        <v>68</v>
      </c>
      <c r="G18" s="76">
        <v>3.6</v>
      </c>
      <c r="H18" s="78">
        <f t="shared" si="0"/>
        <v>71.6</v>
      </c>
      <c r="I18" s="84">
        <f>2050</f>
        <v>2050</v>
      </c>
      <c r="J18" s="84">
        <v>31</v>
      </c>
      <c r="K18" s="84">
        <f>1650</f>
        <v>1650</v>
      </c>
      <c r="L18" s="84">
        <v>11</v>
      </c>
      <c r="M18" s="78">
        <f t="shared" si="1"/>
        <v>3700</v>
      </c>
      <c r="N18" s="78">
        <f t="shared" si="1"/>
        <v>42</v>
      </c>
      <c r="O18" s="84">
        <v>135</v>
      </c>
      <c r="P18" s="84">
        <v>135</v>
      </c>
      <c r="Q18" s="75">
        <v>0</v>
      </c>
      <c r="R18" s="76">
        <v>3</v>
      </c>
      <c r="S18" s="75">
        <v>0</v>
      </c>
      <c r="T18" s="57">
        <f t="shared" si="2"/>
        <v>3</v>
      </c>
      <c r="U18" s="78"/>
      <c r="V18" s="84"/>
      <c r="W18" s="84"/>
      <c r="X18" s="84">
        <v>31</v>
      </c>
      <c r="Y18" s="84"/>
      <c r="Z18" s="84">
        <v>31</v>
      </c>
      <c r="AA18" s="78">
        <v>93</v>
      </c>
      <c r="AB18" s="84"/>
      <c r="AC18" s="84">
        <v>648.2499</v>
      </c>
      <c r="AD18" s="87">
        <v>11.840286305743659</v>
      </c>
    </row>
    <row r="19" spans="1:30" ht="21.75" customHeight="1">
      <c r="A19" s="57">
        <v>13</v>
      </c>
      <c r="B19" s="79" t="s">
        <v>1039</v>
      </c>
      <c r="C19" s="79"/>
      <c r="D19" s="79"/>
      <c r="E19" s="79" t="s">
        <v>150</v>
      </c>
      <c r="F19" s="79">
        <v>11.53</v>
      </c>
      <c r="G19" s="79">
        <v>0</v>
      </c>
      <c r="H19" s="57">
        <f t="shared" si="0"/>
        <v>11.53</v>
      </c>
      <c r="I19" s="52"/>
      <c r="J19" s="52"/>
      <c r="K19" s="52"/>
      <c r="L19" s="52"/>
      <c r="M19" s="57">
        <f t="shared" si="1"/>
        <v>0</v>
      </c>
      <c r="N19" s="57">
        <f t="shared" si="1"/>
        <v>0</v>
      </c>
      <c r="O19" s="52">
        <v>0</v>
      </c>
      <c r="P19" s="52">
        <v>3</v>
      </c>
      <c r="Q19" s="75">
        <v>0</v>
      </c>
      <c r="R19" s="76">
        <v>1</v>
      </c>
      <c r="S19" s="75">
        <v>0</v>
      </c>
      <c r="T19" s="57">
        <f t="shared" si="2"/>
        <v>1</v>
      </c>
      <c r="U19" s="57"/>
      <c r="V19" s="52"/>
      <c r="W19" s="52"/>
      <c r="X19" s="52"/>
      <c r="Y19" s="52"/>
      <c r="Z19" s="52"/>
      <c r="AA19" s="57">
        <v>0</v>
      </c>
      <c r="AB19" s="52"/>
      <c r="AC19" s="52">
        <v>0</v>
      </c>
      <c r="AD19" s="86">
        <v>0</v>
      </c>
    </row>
    <row r="20" spans="1:30" ht="21.75" customHeight="1">
      <c r="A20" s="52">
        <v>14</v>
      </c>
      <c r="B20" s="79" t="s">
        <v>1040</v>
      </c>
      <c r="C20" s="79"/>
      <c r="D20" s="79"/>
      <c r="E20" s="79" t="s">
        <v>150</v>
      </c>
      <c r="F20" s="79">
        <v>1.2</v>
      </c>
      <c r="G20" s="79">
        <v>0</v>
      </c>
      <c r="H20" s="57">
        <f t="shared" si="0"/>
        <v>1.2</v>
      </c>
      <c r="I20" s="52"/>
      <c r="J20" s="52"/>
      <c r="K20" s="52">
        <v>1270</v>
      </c>
      <c r="L20" s="52">
        <v>2</v>
      </c>
      <c r="M20" s="57">
        <f t="shared" si="1"/>
        <v>1270</v>
      </c>
      <c r="N20" s="57">
        <f t="shared" si="1"/>
        <v>2</v>
      </c>
      <c r="O20" s="52">
        <v>6</v>
      </c>
      <c r="P20" s="52">
        <v>6</v>
      </c>
      <c r="Q20" s="75">
        <v>0</v>
      </c>
      <c r="R20" s="76">
        <v>0</v>
      </c>
      <c r="S20" s="75">
        <v>0</v>
      </c>
      <c r="T20" s="57">
        <f t="shared" si="2"/>
        <v>0</v>
      </c>
      <c r="U20" s="57"/>
      <c r="V20" s="52"/>
      <c r="W20" s="52"/>
      <c r="X20" s="52"/>
      <c r="Y20" s="52"/>
      <c r="Z20" s="52"/>
      <c r="AA20" s="57">
        <v>0</v>
      </c>
      <c r="AB20" s="52"/>
      <c r="AC20" s="52">
        <v>1139.5577</v>
      </c>
      <c r="AD20" s="86">
        <v>0</v>
      </c>
    </row>
    <row r="21" spans="1:30" ht="21.75" customHeight="1">
      <c r="A21" s="57">
        <v>15</v>
      </c>
      <c r="B21" s="79" t="s">
        <v>1041</v>
      </c>
      <c r="C21" s="79"/>
      <c r="D21" s="79"/>
      <c r="E21" s="79" t="s">
        <v>150</v>
      </c>
      <c r="F21" s="79">
        <v>1.2</v>
      </c>
      <c r="G21" s="79">
        <v>0</v>
      </c>
      <c r="H21" s="57">
        <f t="shared" si="0"/>
        <v>1.2</v>
      </c>
      <c r="I21" s="52"/>
      <c r="J21" s="52"/>
      <c r="K21" s="52">
        <v>800</v>
      </c>
      <c r="L21" s="52">
        <v>1</v>
      </c>
      <c r="M21" s="57">
        <f t="shared" si="1"/>
        <v>800</v>
      </c>
      <c r="N21" s="57">
        <f t="shared" si="1"/>
        <v>1</v>
      </c>
      <c r="O21" s="52">
        <v>3</v>
      </c>
      <c r="P21" s="52">
        <v>3</v>
      </c>
      <c r="Q21" s="75">
        <v>0</v>
      </c>
      <c r="R21" s="76">
        <v>0</v>
      </c>
      <c r="S21" s="75">
        <v>0</v>
      </c>
      <c r="T21" s="57">
        <f t="shared" si="2"/>
        <v>0</v>
      </c>
      <c r="U21" s="57"/>
      <c r="V21" s="52"/>
      <c r="W21" s="52"/>
      <c r="X21" s="52"/>
      <c r="Y21" s="52"/>
      <c r="Z21" s="52"/>
      <c r="AA21" s="57">
        <v>0</v>
      </c>
      <c r="AB21" s="52"/>
      <c r="AC21" s="52">
        <v>2069.6723</v>
      </c>
      <c r="AD21" s="86">
        <v>0</v>
      </c>
    </row>
    <row r="22" spans="1:30" ht="21.75" customHeight="1">
      <c r="A22" s="57">
        <v>16</v>
      </c>
      <c r="B22" s="79" t="s">
        <v>1042</v>
      </c>
      <c r="C22" s="79"/>
      <c r="D22" s="79"/>
      <c r="E22" s="79" t="s">
        <v>150</v>
      </c>
      <c r="F22" s="79">
        <v>1.81</v>
      </c>
      <c r="G22" s="79">
        <v>0</v>
      </c>
      <c r="H22" s="57">
        <f t="shared" si="0"/>
        <v>1.81</v>
      </c>
      <c r="I22" s="52"/>
      <c r="J22" s="52"/>
      <c r="K22" s="52">
        <v>3200</v>
      </c>
      <c r="L22" s="52">
        <v>2</v>
      </c>
      <c r="M22" s="57">
        <f t="shared" si="1"/>
        <v>3200</v>
      </c>
      <c r="N22" s="57">
        <f t="shared" si="1"/>
        <v>2</v>
      </c>
      <c r="O22" s="52">
        <v>6</v>
      </c>
      <c r="P22" s="52">
        <v>6</v>
      </c>
      <c r="Q22" s="75">
        <v>0</v>
      </c>
      <c r="R22" s="76">
        <v>0</v>
      </c>
      <c r="S22" s="75">
        <v>0</v>
      </c>
      <c r="T22" s="57">
        <f t="shared" si="2"/>
        <v>0</v>
      </c>
      <c r="U22" s="57"/>
      <c r="V22" s="52"/>
      <c r="W22" s="52"/>
      <c r="X22" s="52"/>
      <c r="Y22" s="52"/>
      <c r="Z22" s="52"/>
      <c r="AA22" s="57">
        <v>0</v>
      </c>
      <c r="AB22" s="52"/>
      <c r="AC22" s="52">
        <v>5.548</v>
      </c>
      <c r="AD22" s="86">
        <v>0</v>
      </c>
    </row>
    <row r="23" spans="1:30" ht="21.75" customHeight="1">
      <c r="A23" s="52">
        <v>17</v>
      </c>
      <c r="B23" s="76" t="s">
        <v>1043</v>
      </c>
      <c r="C23" s="76"/>
      <c r="D23" s="76" t="s">
        <v>150</v>
      </c>
      <c r="E23" s="76"/>
      <c r="F23" s="76">
        <v>36.12</v>
      </c>
      <c r="G23" s="76">
        <v>2</v>
      </c>
      <c r="H23" s="57">
        <f t="shared" si="0"/>
        <v>38.12</v>
      </c>
      <c r="I23" s="52">
        <v>1965</v>
      </c>
      <c r="J23" s="52">
        <v>21</v>
      </c>
      <c r="K23" s="52">
        <v>1290</v>
      </c>
      <c r="L23" s="52">
        <v>11</v>
      </c>
      <c r="M23" s="57">
        <f t="shared" si="1"/>
        <v>3255</v>
      </c>
      <c r="N23" s="57">
        <f t="shared" si="1"/>
        <v>32</v>
      </c>
      <c r="O23" s="52">
        <v>102</v>
      </c>
      <c r="P23" s="52">
        <v>102</v>
      </c>
      <c r="Q23" s="75">
        <v>0</v>
      </c>
      <c r="R23" s="76">
        <v>2</v>
      </c>
      <c r="S23" s="75">
        <v>0</v>
      </c>
      <c r="T23" s="57">
        <f t="shared" si="2"/>
        <v>2</v>
      </c>
      <c r="U23" s="57"/>
      <c r="V23" s="52"/>
      <c r="W23" s="52"/>
      <c r="X23" s="52">
        <v>21</v>
      </c>
      <c r="Y23" s="52"/>
      <c r="Z23" s="52">
        <v>21</v>
      </c>
      <c r="AA23" s="57">
        <v>63</v>
      </c>
      <c r="AB23" s="52"/>
      <c r="AC23" s="52">
        <v>10.6401</v>
      </c>
      <c r="AD23" s="86">
        <v>9.615188583078492</v>
      </c>
    </row>
    <row r="24" spans="1:30" ht="21.75" customHeight="1">
      <c r="A24" s="57">
        <v>18</v>
      </c>
      <c r="B24" s="76" t="s">
        <v>1044</v>
      </c>
      <c r="C24" s="76"/>
      <c r="D24" s="76" t="s">
        <v>150</v>
      </c>
      <c r="E24" s="76"/>
      <c r="F24" s="76">
        <f>1.5+0.53</f>
        <v>2.0300000000000002</v>
      </c>
      <c r="G24" s="76">
        <v>0</v>
      </c>
      <c r="H24" s="57">
        <f t="shared" si="0"/>
        <v>2.0300000000000002</v>
      </c>
      <c r="I24" s="52">
        <v>200</v>
      </c>
      <c r="J24" s="52">
        <v>1</v>
      </c>
      <c r="K24" s="52">
        <v>80</v>
      </c>
      <c r="L24" s="52">
        <v>1</v>
      </c>
      <c r="M24" s="57">
        <f t="shared" si="1"/>
        <v>280</v>
      </c>
      <c r="N24" s="57">
        <f t="shared" si="1"/>
        <v>2</v>
      </c>
      <c r="O24" s="52">
        <v>6</v>
      </c>
      <c r="P24" s="52">
        <v>9</v>
      </c>
      <c r="Q24" s="75">
        <v>0</v>
      </c>
      <c r="R24" s="76">
        <v>1</v>
      </c>
      <c r="S24" s="75">
        <v>0</v>
      </c>
      <c r="T24" s="57">
        <f t="shared" si="2"/>
        <v>1</v>
      </c>
      <c r="U24" s="57"/>
      <c r="V24" s="52"/>
      <c r="W24" s="52"/>
      <c r="X24" s="52">
        <v>1</v>
      </c>
      <c r="Y24" s="52"/>
      <c r="Z24" s="52">
        <v>1</v>
      </c>
      <c r="AA24" s="57">
        <v>3</v>
      </c>
      <c r="AB24" s="52"/>
      <c r="AC24" s="52">
        <v>16.0066</v>
      </c>
      <c r="AD24" s="86">
        <v>11.765613802987708</v>
      </c>
    </row>
    <row r="25" spans="1:30" ht="21.75" customHeight="1">
      <c r="A25" s="57">
        <v>19</v>
      </c>
      <c r="B25" s="76" t="s">
        <v>1045</v>
      </c>
      <c r="C25" s="76"/>
      <c r="D25" s="76" t="s">
        <v>150</v>
      </c>
      <c r="E25" s="76"/>
      <c r="F25" s="76">
        <v>44.88</v>
      </c>
      <c r="G25" s="76">
        <v>3</v>
      </c>
      <c r="H25" s="57">
        <f t="shared" si="0"/>
        <v>47.88</v>
      </c>
      <c r="I25" s="51">
        <v>1580</v>
      </c>
      <c r="J25" s="51">
        <v>32</v>
      </c>
      <c r="K25" s="51">
        <v>100</v>
      </c>
      <c r="L25" s="51">
        <v>1</v>
      </c>
      <c r="M25" s="57">
        <f t="shared" si="1"/>
        <v>1680</v>
      </c>
      <c r="N25" s="57">
        <f t="shared" si="1"/>
        <v>33</v>
      </c>
      <c r="O25" s="51">
        <v>105</v>
      </c>
      <c r="P25" s="51">
        <v>105</v>
      </c>
      <c r="Q25" s="75">
        <v>0</v>
      </c>
      <c r="R25" s="76">
        <v>2</v>
      </c>
      <c r="S25" s="75">
        <v>0</v>
      </c>
      <c r="T25" s="57">
        <f t="shared" si="2"/>
        <v>2</v>
      </c>
      <c r="U25" s="57"/>
      <c r="V25" s="51"/>
      <c r="W25" s="51"/>
      <c r="X25" s="51">
        <v>32</v>
      </c>
      <c r="Y25" s="51"/>
      <c r="Z25" s="51">
        <v>32</v>
      </c>
      <c r="AA25" s="57">
        <v>96</v>
      </c>
      <c r="AB25" s="51"/>
      <c r="AC25" s="52">
        <v>13.0038</v>
      </c>
      <c r="AD25" s="86">
        <v>13.023878001471473</v>
      </c>
    </row>
    <row r="26" spans="1:30" ht="21.75" customHeight="1">
      <c r="A26" s="52">
        <v>20</v>
      </c>
      <c r="B26" s="80" t="s">
        <v>1046</v>
      </c>
      <c r="C26" s="76"/>
      <c r="D26" s="76" t="s">
        <v>150</v>
      </c>
      <c r="E26" s="76"/>
      <c r="F26" s="76">
        <v>21.7</v>
      </c>
      <c r="G26" s="76">
        <v>0.8</v>
      </c>
      <c r="H26" s="57">
        <f t="shared" si="0"/>
        <v>22.5</v>
      </c>
      <c r="I26" s="52">
        <v>980</v>
      </c>
      <c r="J26" s="52">
        <v>16</v>
      </c>
      <c r="K26" s="52">
        <v>480</v>
      </c>
      <c r="L26" s="52">
        <v>3</v>
      </c>
      <c r="M26" s="57">
        <f t="shared" si="1"/>
        <v>1460</v>
      </c>
      <c r="N26" s="57">
        <f t="shared" si="1"/>
        <v>19</v>
      </c>
      <c r="O26" s="52">
        <v>63</v>
      </c>
      <c r="P26" s="52">
        <v>60</v>
      </c>
      <c r="Q26" s="75">
        <v>0</v>
      </c>
      <c r="R26" s="76">
        <v>1</v>
      </c>
      <c r="S26" s="75">
        <v>0</v>
      </c>
      <c r="T26" s="57">
        <f t="shared" si="2"/>
        <v>1</v>
      </c>
      <c r="U26" s="57"/>
      <c r="V26" s="52"/>
      <c r="W26" s="52"/>
      <c r="X26" s="52">
        <v>16</v>
      </c>
      <c r="Y26" s="52"/>
      <c r="Z26" s="52">
        <v>16</v>
      </c>
      <c r="AA26" s="57">
        <v>48</v>
      </c>
      <c r="AB26" s="52"/>
      <c r="AC26" s="52">
        <v>11.0281</v>
      </c>
      <c r="AD26" s="86">
        <v>10.616793645647594</v>
      </c>
    </row>
    <row r="27" spans="1:30" ht="21.75" customHeight="1">
      <c r="A27" s="57">
        <v>21</v>
      </c>
      <c r="B27" s="80" t="s">
        <v>1047</v>
      </c>
      <c r="C27" s="76"/>
      <c r="D27" s="76" t="s">
        <v>150</v>
      </c>
      <c r="E27" s="76"/>
      <c r="F27" s="76">
        <f>0.5+59.43</f>
        <v>59.93</v>
      </c>
      <c r="G27" s="76">
        <v>0</v>
      </c>
      <c r="H27" s="57">
        <f t="shared" si="0"/>
        <v>59.93</v>
      </c>
      <c r="I27" s="52">
        <v>1800</v>
      </c>
      <c r="J27" s="52">
        <v>40</v>
      </c>
      <c r="K27" s="52">
        <v>30</v>
      </c>
      <c r="L27" s="52">
        <v>1</v>
      </c>
      <c r="M27" s="57">
        <f t="shared" si="1"/>
        <v>1830</v>
      </c>
      <c r="N27" s="57">
        <f t="shared" si="1"/>
        <v>41</v>
      </c>
      <c r="O27" s="52">
        <v>135</v>
      </c>
      <c r="P27" s="52">
        <v>129</v>
      </c>
      <c r="Q27" s="75">
        <v>0</v>
      </c>
      <c r="R27" s="76">
        <v>2</v>
      </c>
      <c r="S27" s="75">
        <v>0</v>
      </c>
      <c r="T27" s="57">
        <f t="shared" si="2"/>
        <v>2</v>
      </c>
      <c r="U27" s="57"/>
      <c r="V27" s="52"/>
      <c r="W27" s="52"/>
      <c r="X27" s="52">
        <v>40</v>
      </c>
      <c r="Y27" s="52"/>
      <c r="Z27" s="52">
        <v>40</v>
      </c>
      <c r="AA27" s="57">
        <v>120</v>
      </c>
      <c r="AB27" s="52"/>
      <c r="AC27" s="52">
        <v>16.8349</v>
      </c>
      <c r="AD27" s="86">
        <v>11.170852680455887</v>
      </c>
    </row>
    <row r="28" spans="1:30" ht="21.75" customHeight="1">
      <c r="A28" s="57">
        <v>22</v>
      </c>
      <c r="B28" s="80" t="s">
        <v>1048</v>
      </c>
      <c r="C28" s="76"/>
      <c r="D28" s="76" t="s">
        <v>150</v>
      </c>
      <c r="E28" s="76"/>
      <c r="F28" s="76">
        <f>0.5+28.32</f>
        <v>28.82</v>
      </c>
      <c r="G28" s="76">
        <v>0</v>
      </c>
      <c r="H28" s="57">
        <f t="shared" si="0"/>
        <v>28.82</v>
      </c>
      <c r="I28" s="52">
        <v>1460</v>
      </c>
      <c r="J28" s="52">
        <v>23</v>
      </c>
      <c r="K28" s="52">
        <v>440</v>
      </c>
      <c r="L28" s="52">
        <v>5</v>
      </c>
      <c r="M28" s="57">
        <f t="shared" si="1"/>
        <v>1900</v>
      </c>
      <c r="N28" s="57">
        <f t="shared" si="1"/>
        <v>28</v>
      </c>
      <c r="O28" s="52">
        <v>93</v>
      </c>
      <c r="P28" s="52">
        <v>87</v>
      </c>
      <c r="Q28" s="75">
        <v>0</v>
      </c>
      <c r="R28" s="76">
        <v>1</v>
      </c>
      <c r="S28" s="75">
        <v>0</v>
      </c>
      <c r="T28" s="57">
        <f t="shared" si="2"/>
        <v>1</v>
      </c>
      <c r="U28" s="57"/>
      <c r="V28" s="52"/>
      <c r="W28" s="52"/>
      <c r="X28" s="52">
        <v>23</v>
      </c>
      <c r="Y28" s="52"/>
      <c r="Z28" s="52">
        <v>23</v>
      </c>
      <c r="AA28" s="57">
        <v>69</v>
      </c>
      <c r="AB28" s="52"/>
      <c r="AC28" s="52">
        <v>15.7399</v>
      </c>
      <c r="AD28" s="86">
        <v>10.505579979709164</v>
      </c>
    </row>
    <row r="29" spans="1:30" ht="21.75" customHeight="1">
      <c r="A29" s="52">
        <v>23</v>
      </c>
      <c r="B29" s="80" t="s">
        <v>1049</v>
      </c>
      <c r="C29" s="76"/>
      <c r="D29" s="76" t="s">
        <v>150</v>
      </c>
      <c r="E29" s="76"/>
      <c r="F29" s="76">
        <v>18.44</v>
      </c>
      <c r="G29" s="76">
        <v>2.3</v>
      </c>
      <c r="H29" s="57">
        <f t="shared" si="0"/>
        <v>20.740000000000002</v>
      </c>
      <c r="I29" s="52">
        <v>890</v>
      </c>
      <c r="J29" s="52">
        <v>16</v>
      </c>
      <c r="K29" s="52">
        <v>400</v>
      </c>
      <c r="L29" s="52">
        <v>6</v>
      </c>
      <c r="M29" s="57">
        <f t="shared" si="1"/>
        <v>1290</v>
      </c>
      <c r="N29" s="57">
        <f t="shared" si="1"/>
        <v>22</v>
      </c>
      <c r="O29" s="52">
        <v>75</v>
      </c>
      <c r="P29" s="52">
        <v>72</v>
      </c>
      <c r="Q29" s="75">
        <v>0</v>
      </c>
      <c r="R29" s="76">
        <v>2</v>
      </c>
      <c r="S29" s="75">
        <v>0</v>
      </c>
      <c r="T29" s="57">
        <f t="shared" si="2"/>
        <v>2</v>
      </c>
      <c r="U29" s="57"/>
      <c r="V29" s="52"/>
      <c r="W29" s="52"/>
      <c r="X29" s="52">
        <v>16</v>
      </c>
      <c r="Y29" s="52"/>
      <c r="Z29" s="52">
        <v>16</v>
      </c>
      <c r="AA29" s="57">
        <v>48</v>
      </c>
      <c r="AB29" s="52"/>
      <c r="AC29" s="52">
        <v>10.6866</v>
      </c>
      <c r="AD29" s="86">
        <v>0</v>
      </c>
    </row>
    <row r="30" spans="1:30" ht="21.75" customHeight="1">
      <c r="A30" s="57">
        <v>24</v>
      </c>
      <c r="B30" s="80" t="s">
        <v>1050</v>
      </c>
      <c r="C30" s="76"/>
      <c r="D30" s="76" t="s">
        <v>150</v>
      </c>
      <c r="E30" s="76"/>
      <c r="F30" s="76">
        <v>57.92</v>
      </c>
      <c r="G30" s="76">
        <v>11.5</v>
      </c>
      <c r="H30" s="57">
        <f t="shared" si="0"/>
        <v>69.42</v>
      </c>
      <c r="I30" s="52">
        <v>1565</v>
      </c>
      <c r="J30" s="52">
        <v>28</v>
      </c>
      <c r="K30" s="52">
        <v>3295</v>
      </c>
      <c r="L30" s="52">
        <v>19</v>
      </c>
      <c r="M30" s="57">
        <f t="shared" si="1"/>
        <v>4860</v>
      </c>
      <c r="N30" s="57">
        <f t="shared" si="1"/>
        <v>47</v>
      </c>
      <c r="O30" s="52">
        <v>153</v>
      </c>
      <c r="P30" s="52">
        <v>144</v>
      </c>
      <c r="Q30" s="75">
        <v>0</v>
      </c>
      <c r="R30" s="76">
        <v>1</v>
      </c>
      <c r="S30" s="75">
        <v>0</v>
      </c>
      <c r="T30" s="57">
        <f t="shared" si="2"/>
        <v>1</v>
      </c>
      <c r="U30" s="57">
        <v>300</v>
      </c>
      <c r="V30" s="52">
        <v>1</v>
      </c>
      <c r="W30" s="52"/>
      <c r="X30" s="52">
        <v>28</v>
      </c>
      <c r="Y30" s="52"/>
      <c r="Z30" s="52">
        <v>28</v>
      </c>
      <c r="AA30" s="57">
        <v>84</v>
      </c>
      <c r="AB30" s="52"/>
      <c r="AC30" s="52">
        <v>15.0523</v>
      </c>
      <c r="AD30" s="86">
        <v>10.242695289206917</v>
      </c>
    </row>
    <row r="31" spans="1:30" ht="21.75" customHeight="1">
      <c r="A31" s="57">
        <v>25</v>
      </c>
      <c r="B31" s="80" t="s">
        <v>1051</v>
      </c>
      <c r="C31" s="76"/>
      <c r="D31" s="76" t="s">
        <v>150</v>
      </c>
      <c r="E31" s="76"/>
      <c r="F31" s="76">
        <f>0.8+66.2</f>
        <v>67</v>
      </c>
      <c r="G31" s="76">
        <v>0</v>
      </c>
      <c r="H31" s="57">
        <f t="shared" si="0"/>
        <v>67</v>
      </c>
      <c r="I31" s="52">
        <v>2320</v>
      </c>
      <c r="J31" s="52">
        <v>44</v>
      </c>
      <c r="K31" s="52">
        <v>1445</v>
      </c>
      <c r="L31" s="52">
        <v>16</v>
      </c>
      <c r="M31" s="57">
        <f t="shared" si="1"/>
        <v>3765</v>
      </c>
      <c r="N31" s="57">
        <f t="shared" si="1"/>
        <v>60</v>
      </c>
      <c r="O31" s="52">
        <v>189</v>
      </c>
      <c r="P31" s="52">
        <v>189</v>
      </c>
      <c r="Q31" s="75">
        <v>0</v>
      </c>
      <c r="R31" s="76">
        <v>3</v>
      </c>
      <c r="S31" s="75">
        <v>0</v>
      </c>
      <c r="T31" s="57">
        <f t="shared" si="2"/>
        <v>3</v>
      </c>
      <c r="U31" s="57"/>
      <c r="V31" s="52"/>
      <c r="W31" s="52"/>
      <c r="X31" s="52">
        <v>44</v>
      </c>
      <c r="Y31" s="52"/>
      <c r="Z31" s="52">
        <v>44</v>
      </c>
      <c r="AA31" s="57">
        <v>132</v>
      </c>
      <c r="AB31" s="52"/>
      <c r="AC31" s="52">
        <v>23.8695</v>
      </c>
      <c r="AD31" s="86">
        <v>10.153573982760568</v>
      </c>
    </row>
    <row r="32" spans="1:30" ht="21.75" customHeight="1">
      <c r="A32" s="52">
        <v>26</v>
      </c>
      <c r="B32" s="80" t="s">
        <v>1052</v>
      </c>
      <c r="C32" s="76"/>
      <c r="D32" s="76" t="s">
        <v>150</v>
      </c>
      <c r="E32" s="76"/>
      <c r="F32" s="76">
        <f>0.9+30.62</f>
        <v>31.52</v>
      </c>
      <c r="G32" s="76">
        <v>0</v>
      </c>
      <c r="H32" s="57">
        <f t="shared" si="0"/>
        <v>31.52</v>
      </c>
      <c r="I32" s="52">
        <v>2015</v>
      </c>
      <c r="J32" s="52">
        <v>24</v>
      </c>
      <c r="K32" s="52">
        <v>1270</v>
      </c>
      <c r="L32" s="52">
        <v>16</v>
      </c>
      <c r="M32" s="57">
        <f t="shared" si="1"/>
        <v>3285</v>
      </c>
      <c r="N32" s="57">
        <f t="shared" si="1"/>
        <v>40</v>
      </c>
      <c r="O32" s="52">
        <v>129</v>
      </c>
      <c r="P32" s="52">
        <v>123</v>
      </c>
      <c r="Q32" s="75">
        <v>0</v>
      </c>
      <c r="R32" s="76">
        <v>1</v>
      </c>
      <c r="S32" s="75">
        <v>0</v>
      </c>
      <c r="T32" s="57">
        <f t="shared" si="2"/>
        <v>1</v>
      </c>
      <c r="U32" s="57"/>
      <c r="V32" s="52"/>
      <c r="W32" s="52"/>
      <c r="X32" s="52">
        <v>24</v>
      </c>
      <c r="Y32" s="52"/>
      <c r="Z32" s="52">
        <v>24</v>
      </c>
      <c r="AA32" s="57">
        <v>72</v>
      </c>
      <c r="AB32" s="52"/>
      <c r="AC32" s="52">
        <v>38.5768</v>
      </c>
      <c r="AD32" s="86">
        <v>9.582093050509785</v>
      </c>
    </row>
    <row r="33" spans="1:30" ht="25.5" customHeight="1">
      <c r="A33" s="57">
        <v>27</v>
      </c>
      <c r="B33" s="81" t="s">
        <v>1053</v>
      </c>
      <c r="C33" s="79"/>
      <c r="D33" s="79"/>
      <c r="E33" s="79" t="s">
        <v>150</v>
      </c>
      <c r="F33" s="79">
        <v>1.2</v>
      </c>
      <c r="G33" s="79">
        <v>0</v>
      </c>
      <c r="H33" s="57">
        <f t="shared" si="0"/>
        <v>1.2</v>
      </c>
      <c r="I33" s="52"/>
      <c r="J33" s="52"/>
      <c r="K33" s="52">
        <v>2500</v>
      </c>
      <c r="L33" s="52">
        <v>1</v>
      </c>
      <c r="M33" s="57">
        <f t="shared" si="1"/>
        <v>2500</v>
      </c>
      <c r="N33" s="57">
        <f t="shared" si="1"/>
        <v>1</v>
      </c>
      <c r="O33" s="52">
        <v>3</v>
      </c>
      <c r="P33" s="52">
        <v>3</v>
      </c>
      <c r="Q33" s="75">
        <v>0</v>
      </c>
      <c r="R33" s="76">
        <v>0</v>
      </c>
      <c r="S33" s="75">
        <v>0</v>
      </c>
      <c r="T33" s="57">
        <f t="shared" si="2"/>
        <v>0</v>
      </c>
      <c r="U33" s="57"/>
      <c r="V33" s="52"/>
      <c r="W33" s="52"/>
      <c r="X33" s="52"/>
      <c r="Y33" s="52"/>
      <c r="Z33" s="52"/>
      <c r="AA33" s="57">
        <v>0</v>
      </c>
      <c r="AB33" s="52"/>
      <c r="AC33" s="52">
        <v>0</v>
      </c>
      <c r="AD33" s="86">
        <v>0</v>
      </c>
    </row>
    <row r="34" spans="1:30" ht="25.5" customHeight="1">
      <c r="A34" s="57">
        <v>28</v>
      </c>
      <c r="B34" s="81" t="s">
        <v>1054</v>
      </c>
      <c r="C34" s="79"/>
      <c r="D34" s="79"/>
      <c r="E34" s="79" t="s">
        <v>150</v>
      </c>
      <c r="F34" s="79">
        <v>0.5</v>
      </c>
      <c r="G34" s="79">
        <v>0</v>
      </c>
      <c r="H34" s="57">
        <f t="shared" si="0"/>
        <v>0.5</v>
      </c>
      <c r="I34" s="52"/>
      <c r="J34" s="52"/>
      <c r="K34" s="52">
        <v>6450</v>
      </c>
      <c r="L34" s="52">
        <v>5</v>
      </c>
      <c r="M34" s="57">
        <f t="shared" si="1"/>
        <v>6450</v>
      </c>
      <c r="N34" s="57">
        <f t="shared" si="1"/>
        <v>5</v>
      </c>
      <c r="O34" s="52">
        <v>15</v>
      </c>
      <c r="P34" s="52">
        <v>15</v>
      </c>
      <c r="Q34" s="75">
        <v>0</v>
      </c>
      <c r="R34" s="76">
        <v>0</v>
      </c>
      <c r="S34" s="75">
        <v>0</v>
      </c>
      <c r="T34" s="57">
        <f t="shared" si="2"/>
        <v>0</v>
      </c>
      <c r="U34" s="57"/>
      <c r="V34" s="52"/>
      <c r="W34" s="52"/>
      <c r="X34" s="52"/>
      <c r="Y34" s="52"/>
      <c r="Z34" s="52"/>
      <c r="AA34" s="57">
        <v>0</v>
      </c>
      <c r="AB34" s="52"/>
      <c r="AC34" s="52">
        <v>284.1168</v>
      </c>
      <c r="AD34" s="86">
        <v>0</v>
      </c>
    </row>
    <row r="35" spans="1:30" ht="25.5" customHeight="1">
      <c r="A35" s="52">
        <v>29</v>
      </c>
      <c r="B35" s="81" t="s">
        <v>1055</v>
      </c>
      <c r="C35" s="79"/>
      <c r="D35" s="79"/>
      <c r="E35" s="79" t="s">
        <v>150</v>
      </c>
      <c r="F35" s="79">
        <v>0.55</v>
      </c>
      <c r="G35" s="79">
        <v>0</v>
      </c>
      <c r="H35" s="57">
        <f t="shared" si="0"/>
        <v>0.55</v>
      </c>
      <c r="I35" s="52"/>
      <c r="J35" s="52"/>
      <c r="K35" s="52">
        <v>6260</v>
      </c>
      <c r="L35" s="52">
        <v>5</v>
      </c>
      <c r="M35" s="57">
        <f t="shared" si="1"/>
        <v>6260</v>
      </c>
      <c r="N35" s="57">
        <f t="shared" si="1"/>
        <v>5</v>
      </c>
      <c r="O35" s="52">
        <v>15</v>
      </c>
      <c r="P35" s="52">
        <v>15</v>
      </c>
      <c r="Q35" s="75">
        <v>0</v>
      </c>
      <c r="R35" s="76">
        <v>0</v>
      </c>
      <c r="S35" s="75">
        <v>0</v>
      </c>
      <c r="T35" s="57">
        <f t="shared" si="2"/>
        <v>0</v>
      </c>
      <c r="U35" s="57"/>
      <c r="V35" s="52"/>
      <c r="W35" s="52"/>
      <c r="X35" s="52"/>
      <c r="Y35" s="52"/>
      <c r="Z35" s="52"/>
      <c r="AA35" s="57">
        <v>0</v>
      </c>
      <c r="AB35" s="52"/>
      <c r="AC35" s="52">
        <v>596.6453</v>
      </c>
      <c r="AD35" s="86">
        <v>0</v>
      </c>
    </row>
    <row r="36" spans="1:30" ht="25.5" customHeight="1">
      <c r="A36" s="57">
        <v>30</v>
      </c>
      <c r="B36" s="81" t="s">
        <v>1056</v>
      </c>
      <c r="C36" s="79"/>
      <c r="D36" s="79"/>
      <c r="E36" s="79" t="s">
        <v>150</v>
      </c>
      <c r="F36" s="79">
        <v>0.25</v>
      </c>
      <c r="G36" s="79">
        <v>0</v>
      </c>
      <c r="H36" s="57">
        <f t="shared" si="0"/>
        <v>0.25</v>
      </c>
      <c r="I36" s="52"/>
      <c r="J36" s="52"/>
      <c r="K36" s="52">
        <v>6170</v>
      </c>
      <c r="L36" s="52">
        <v>5</v>
      </c>
      <c r="M36" s="57">
        <f t="shared" si="1"/>
        <v>6170</v>
      </c>
      <c r="N36" s="57">
        <f t="shared" si="1"/>
        <v>5</v>
      </c>
      <c r="O36" s="52">
        <v>15</v>
      </c>
      <c r="P36" s="52">
        <v>15</v>
      </c>
      <c r="Q36" s="75">
        <v>0</v>
      </c>
      <c r="R36" s="76">
        <v>0</v>
      </c>
      <c r="S36" s="75">
        <v>0</v>
      </c>
      <c r="T36" s="57">
        <f t="shared" si="2"/>
        <v>0</v>
      </c>
      <c r="U36" s="57"/>
      <c r="V36" s="52"/>
      <c r="W36" s="52"/>
      <c r="X36" s="52"/>
      <c r="Y36" s="52"/>
      <c r="Z36" s="52"/>
      <c r="AA36" s="57">
        <v>0</v>
      </c>
      <c r="AB36" s="52"/>
      <c r="AC36" s="52">
        <v>539.8219</v>
      </c>
      <c r="AD36" s="86">
        <v>0</v>
      </c>
    </row>
    <row r="37" spans="1:30" ht="25.5" customHeight="1">
      <c r="A37" s="57">
        <v>31</v>
      </c>
      <c r="B37" s="76" t="s">
        <v>1057</v>
      </c>
      <c r="C37" s="76"/>
      <c r="D37" s="76" t="s">
        <v>150</v>
      </c>
      <c r="E37" s="76"/>
      <c r="F37" s="76">
        <f>1.2+76.45</f>
        <v>77.65</v>
      </c>
      <c r="G37" s="76">
        <v>2</v>
      </c>
      <c r="H37" s="57">
        <f t="shared" si="0"/>
        <v>79.65</v>
      </c>
      <c r="I37" s="52">
        <v>3580</v>
      </c>
      <c r="J37" s="52">
        <v>58</v>
      </c>
      <c r="K37" s="52">
        <v>4635</v>
      </c>
      <c r="L37" s="52">
        <v>20</v>
      </c>
      <c r="M37" s="57">
        <f t="shared" si="1"/>
        <v>8215</v>
      </c>
      <c r="N37" s="57">
        <f t="shared" si="1"/>
        <v>78</v>
      </c>
      <c r="O37" s="52">
        <v>234</v>
      </c>
      <c r="P37" s="52">
        <v>246</v>
      </c>
      <c r="Q37" s="75">
        <v>4</v>
      </c>
      <c r="R37" s="76">
        <v>0</v>
      </c>
      <c r="S37" s="75">
        <v>0</v>
      </c>
      <c r="T37" s="57">
        <f t="shared" si="2"/>
        <v>4</v>
      </c>
      <c r="U37" s="57"/>
      <c r="V37" s="52"/>
      <c r="W37" s="52"/>
      <c r="X37" s="52">
        <v>58</v>
      </c>
      <c r="Y37" s="52"/>
      <c r="Z37" s="52">
        <v>58</v>
      </c>
      <c r="AA37" s="57">
        <v>174</v>
      </c>
      <c r="AB37" s="52"/>
      <c r="AC37" s="52">
        <v>58.4305</v>
      </c>
      <c r="AD37" s="86">
        <v>11.51720273790054</v>
      </c>
    </row>
    <row r="38" spans="1:30" ht="25.5" customHeight="1">
      <c r="A38" s="52">
        <v>32</v>
      </c>
      <c r="B38" s="82" t="s">
        <v>1058</v>
      </c>
      <c r="C38" s="83"/>
      <c r="D38" s="83"/>
      <c r="E38" s="83" t="s">
        <v>150</v>
      </c>
      <c r="F38" s="51"/>
      <c r="G38" s="51">
        <v>3.76</v>
      </c>
      <c r="H38" s="57">
        <f t="shared" si="0"/>
        <v>3.76</v>
      </c>
      <c r="I38" s="51"/>
      <c r="J38" s="51"/>
      <c r="K38" s="51">
        <v>1250</v>
      </c>
      <c r="L38" s="51">
        <v>1</v>
      </c>
      <c r="M38" s="57">
        <f t="shared" si="1"/>
        <v>1250</v>
      </c>
      <c r="N38" s="57">
        <f t="shared" si="1"/>
        <v>1</v>
      </c>
      <c r="O38" s="51">
        <v>3</v>
      </c>
      <c r="P38" s="51">
        <v>6</v>
      </c>
      <c r="Q38" s="75">
        <v>0</v>
      </c>
      <c r="R38" s="51">
        <v>1</v>
      </c>
      <c r="S38" s="75">
        <v>0</v>
      </c>
      <c r="T38" s="57">
        <f t="shared" si="2"/>
        <v>1</v>
      </c>
      <c r="U38" s="57"/>
      <c r="V38" s="51"/>
      <c r="W38" s="51"/>
      <c r="X38" s="51"/>
      <c r="Y38" s="51"/>
      <c r="Z38" s="51"/>
      <c r="AA38" s="57">
        <v>0</v>
      </c>
      <c r="AB38" s="51"/>
      <c r="AC38" s="52">
        <v>0</v>
      </c>
      <c r="AD38" s="86">
        <v>0</v>
      </c>
    </row>
    <row r="39" spans="1:30" ht="21.75" customHeight="1">
      <c r="A39" s="57">
        <v>33</v>
      </c>
      <c r="B39" s="82" t="s">
        <v>1059</v>
      </c>
      <c r="C39" s="83"/>
      <c r="D39" s="83"/>
      <c r="E39" s="83" t="s">
        <v>150</v>
      </c>
      <c r="F39" s="51"/>
      <c r="G39" s="51">
        <v>2.7</v>
      </c>
      <c r="H39" s="57">
        <f t="shared" si="0"/>
        <v>2.7</v>
      </c>
      <c r="I39" s="51"/>
      <c r="J39" s="51"/>
      <c r="K39" s="51">
        <f>1600+630</f>
        <v>2230</v>
      </c>
      <c r="L39" s="51">
        <v>2</v>
      </c>
      <c r="M39" s="57">
        <f t="shared" si="1"/>
        <v>2230</v>
      </c>
      <c r="N39" s="57">
        <f t="shared" si="1"/>
        <v>2</v>
      </c>
      <c r="O39" s="51">
        <v>6</v>
      </c>
      <c r="P39" s="51">
        <v>6</v>
      </c>
      <c r="Q39" s="75">
        <v>0</v>
      </c>
      <c r="R39" s="51"/>
      <c r="S39" s="75">
        <v>0</v>
      </c>
      <c r="T39" s="57">
        <f t="shared" si="2"/>
        <v>0</v>
      </c>
      <c r="U39" s="57"/>
      <c r="V39" s="51"/>
      <c r="W39" s="51"/>
      <c r="X39" s="51"/>
      <c r="Y39" s="51"/>
      <c r="Z39" s="51"/>
      <c r="AA39" s="57">
        <v>0</v>
      </c>
      <c r="AB39" s="51"/>
      <c r="AC39" s="52">
        <v>0</v>
      </c>
      <c r="AD39" s="86">
        <v>0</v>
      </c>
    </row>
    <row r="40" spans="1:30" ht="21.75" customHeight="1">
      <c r="A40" s="57">
        <v>34</v>
      </c>
      <c r="B40" s="82" t="s">
        <v>1060</v>
      </c>
      <c r="C40" s="83"/>
      <c r="D40" s="83"/>
      <c r="E40" s="83" t="s">
        <v>150</v>
      </c>
      <c r="F40" s="51"/>
      <c r="G40" s="51">
        <v>9</v>
      </c>
      <c r="H40" s="57">
        <f t="shared" si="0"/>
        <v>9</v>
      </c>
      <c r="I40" s="51"/>
      <c r="J40" s="51"/>
      <c r="K40" s="51">
        <v>2390</v>
      </c>
      <c r="L40" s="51">
        <v>4</v>
      </c>
      <c r="M40" s="57">
        <f t="shared" si="1"/>
        <v>2390</v>
      </c>
      <c r="N40" s="57">
        <f t="shared" si="1"/>
        <v>4</v>
      </c>
      <c r="O40" s="51">
        <v>12</v>
      </c>
      <c r="P40" s="51">
        <v>12</v>
      </c>
      <c r="Q40" s="75">
        <v>0</v>
      </c>
      <c r="R40" s="51"/>
      <c r="S40" s="75">
        <v>0</v>
      </c>
      <c r="T40" s="57">
        <f t="shared" si="2"/>
        <v>0</v>
      </c>
      <c r="U40" s="57"/>
      <c r="V40" s="51"/>
      <c r="W40" s="51"/>
      <c r="X40" s="51"/>
      <c r="Y40" s="51"/>
      <c r="Z40" s="51"/>
      <c r="AA40" s="57">
        <v>0</v>
      </c>
      <c r="AB40" s="51"/>
      <c r="AC40" s="52">
        <v>18.964</v>
      </c>
      <c r="AD40" s="86">
        <v>0</v>
      </c>
    </row>
    <row r="41" spans="1:30" ht="21.75" customHeight="1">
      <c r="A41" s="57">
        <v>35</v>
      </c>
      <c r="B41" s="82" t="s">
        <v>1061</v>
      </c>
      <c r="C41" s="83"/>
      <c r="D41" s="76" t="s">
        <v>150</v>
      </c>
      <c r="E41" s="83"/>
      <c r="F41" s="51">
        <v>41</v>
      </c>
      <c r="G41" s="51"/>
      <c r="H41" s="57">
        <f t="shared" si="0"/>
        <v>41</v>
      </c>
      <c r="I41" s="51">
        <v>2115</v>
      </c>
      <c r="J41" s="51">
        <v>13</v>
      </c>
      <c r="K41" s="51">
        <v>2645</v>
      </c>
      <c r="L41" s="51">
        <v>25</v>
      </c>
      <c r="M41" s="57">
        <f t="shared" si="1"/>
        <v>4760</v>
      </c>
      <c r="N41" s="57">
        <f t="shared" si="1"/>
        <v>38</v>
      </c>
      <c r="O41" s="51">
        <v>114</v>
      </c>
      <c r="P41" s="51">
        <v>114</v>
      </c>
      <c r="Q41" s="75">
        <v>0</v>
      </c>
      <c r="R41" s="51"/>
      <c r="S41" s="75">
        <v>0</v>
      </c>
      <c r="T41" s="57">
        <f t="shared" si="2"/>
        <v>0</v>
      </c>
      <c r="U41" s="57"/>
      <c r="V41" s="51"/>
      <c r="W41" s="51"/>
      <c r="X41" s="51">
        <v>13</v>
      </c>
      <c r="Y41" s="51"/>
      <c r="Z41" s="51">
        <v>13</v>
      </c>
      <c r="AA41" s="57">
        <v>39</v>
      </c>
      <c r="AB41" s="51"/>
      <c r="AC41" s="52">
        <v>28.2744</v>
      </c>
      <c r="AD41" s="86">
        <v>11.84</v>
      </c>
    </row>
    <row r="42" spans="1:30" s="45" customFormat="1" ht="25.5" customHeight="1">
      <c r="A42" s="84" t="s">
        <v>209</v>
      </c>
      <c r="B42" s="52"/>
      <c r="C42" s="85">
        <v>5</v>
      </c>
      <c r="D42" s="85">
        <v>19</v>
      </c>
      <c r="E42" s="85">
        <v>11</v>
      </c>
      <c r="F42" s="52">
        <f>SUM(F7:F41)</f>
        <v>957.5899999999999</v>
      </c>
      <c r="G42" s="52">
        <f aca="true" t="shared" si="3" ref="G42:O42">SUM(G7:G41)</f>
        <v>48.660000000000004</v>
      </c>
      <c r="H42" s="52">
        <f t="shared" si="3"/>
        <v>1006.2499999999998</v>
      </c>
      <c r="I42" s="52">
        <f t="shared" si="3"/>
        <v>56455</v>
      </c>
      <c r="J42" s="52">
        <f t="shared" si="3"/>
        <v>651</v>
      </c>
      <c r="K42" s="52">
        <f t="shared" si="3"/>
        <v>78735</v>
      </c>
      <c r="L42" s="52">
        <f t="shared" si="3"/>
        <v>294</v>
      </c>
      <c r="M42" s="52">
        <f t="shared" si="3"/>
        <v>135190</v>
      </c>
      <c r="N42" s="52">
        <f t="shared" si="3"/>
        <v>945</v>
      </c>
      <c r="O42" s="52">
        <f t="shared" si="3"/>
        <v>2970</v>
      </c>
      <c r="P42" s="52">
        <f aca="true" t="shared" si="4" ref="P42:AB42">SUM(P7:P41)</f>
        <v>2988</v>
      </c>
      <c r="Q42" s="52">
        <f t="shared" si="4"/>
        <v>10</v>
      </c>
      <c r="R42" s="52">
        <f t="shared" si="4"/>
        <v>54</v>
      </c>
      <c r="S42" s="52">
        <f t="shared" si="4"/>
        <v>0</v>
      </c>
      <c r="T42" s="52">
        <f t="shared" si="4"/>
        <v>64</v>
      </c>
      <c r="U42" s="52">
        <f t="shared" si="4"/>
        <v>300</v>
      </c>
      <c r="V42" s="52">
        <f t="shared" si="4"/>
        <v>1</v>
      </c>
      <c r="W42" s="52">
        <f t="shared" si="4"/>
        <v>0</v>
      </c>
      <c r="X42" s="52">
        <f t="shared" si="4"/>
        <v>651</v>
      </c>
      <c r="Y42" s="52">
        <f t="shared" si="4"/>
        <v>0</v>
      </c>
      <c r="Z42" s="52">
        <f t="shared" si="4"/>
        <v>651</v>
      </c>
      <c r="AA42" s="52">
        <f t="shared" si="4"/>
        <v>1953</v>
      </c>
      <c r="AB42" s="52">
        <f t="shared" si="4"/>
        <v>0</v>
      </c>
      <c r="AC42" s="52">
        <f>(SUM(AC7:AC41))</f>
        <v>11438.059000000007</v>
      </c>
      <c r="AD42" s="86">
        <v>3.49</v>
      </c>
    </row>
    <row r="43" ht="25.5" customHeight="1"/>
    <row r="46" spans="2:26" ht="15">
      <c r="B46" s="46" t="s">
        <v>176</v>
      </c>
      <c r="O46" s="46" t="s">
        <v>177</v>
      </c>
      <c r="Z46" s="46" t="s">
        <v>211</v>
      </c>
    </row>
  </sheetData>
  <sheetProtection/>
  <mergeCells count="21">
    <mergeCell ref="A1:AD1"/>
    <mergeCell ref="C3:E3"/>
    <mergeCell ref="F3:H3"/>
    <mergeCell ref="I3:N3"/>
    <mergeCell ref="Q3:T3"/>
    <mergeCell ref="U3:V3"/>
    <mergeCell ref="W3:Y3"/>
    <mergeCell ref="AA3:AB3"/>
    <mergeCell ref="A42:B42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 scale="7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="75" zoomScaleNormal="75" workbookViewId="0" topLeftCell="A1">
      <selection activeCell="A1" sqref="A1:AD1"/>
    </sheetView>
  </sheetViews>
  <sheetFormatPr defaultColWidth="9.00390625" defaultRowHeight="14.25"/>
  <cols>
    <col min="1" max="1" width="5.875" style="46" customWidth="1"/>
    <col min="2" max="2" width="11.125" style="46" customWidth="1"/>
    <col min="3" max="5" width="2.875" style="46" customWidth="1"/>
    <col min="6" max="6" width="10.125" style="46" customWidth="1"/>
    <col min="7" max="7" width="9.125" style="46" customWidth="1"/>
    <col min="8" max="8" width="9.25390625" style="46" customWidth="1"/>
    <col min="9" max="9" width="8.00390625" style="46" customWidth="1"/>
    <col min="10" max="10" width="6.375" style="46" customWidth="1"/>
    <col min="11" max="11" width="8.50390625" style="46" customWidth="1"/>
    <col min="12" max="12" width="6.875" style="46" customWidth="1"/>
    <col min="13" max="13" width="8.75390625" style="46" customWidth="1"/>
    <col min="14" max="14" width="7.375" style="46" customWidth="1"/>
    <col min="15" max="15" width="6.00390625" style="46" customWidth="1"/>
    <col min="16" max="16" width="6.125" style="46" customWidth="1"/>
    <col min="17" max="17" width="3.75390625" style="46" customWidth="1"/>
    <col min="18" max="18" width="4.875" style="46" customWidth="1"/>
    <col min="19" max="19" width="4.00390625" style="46" customWidth="1"/>
    <col min="20" max="20" width="7.75390625" style="46" customWidth="1"/>
    <col min="21" max="21" width="7.00390625" style="46" customWidth="1"/>
    <col min="22" max="22" width="4.375" style="46" customWidth="1"/>
    <col min="23" max="24" width="6.75390625" style="46" customWidth="1"/>
    <col min="25" max="25" width="4.50390625" style="46" customWidth="1"/>
    <col min="26" max="26" width="4.75390625" style="46" customWidth="1"/>
    <col min="27" max="27" width="3.875" style="46" customWidth="1"/>
    <col min="28" max="28" width="4.625" style="46" customWidth="1"/>
    <col min="29" max="29" width="10.00390625" style="46" bestFit="1" customWidth="1"/>
    <col min="30" max="30" width="9.375" style="46" customWidth="1"/>
    <col min="31" max="31" width="5.625" style="46" customWidth="1"/>
    <col min="32" max="32" width="4.375" style="46" customWidth="1"/>
    <col min="33" max="35" width="4.75390625" style="46" customWidth="1"/>
    <col min="36" max="36" width="5.50390625" style="46" customWidth="1"/>
    <col min="37" max="37" width="5.25390625" style="46" customWidth="1"/>
    <col min="38" max="38" width="4.375" style="46" customWidth="1"/>
    <col min="39" max="16384" width="9.00390625" style="46" customWidth="1"/>
  </cols>
  <sheetData>
    <row r="1" spans="1:30" ht="32.25" customHeight="1">
      <c r="A1" s="47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28" ht="31.5" customHeight="1">
      <c r="A2" s="46" t="s">
        <v>1062</v>
      </c>
      <c r="B2" s="49" t="s">
        <v>1063</v>
      </c>
      <c r="C2" s="49"/>
      <c r="D2" s="49"/>
      <c r="E2" s="49"/>
      <c r="F2" s="49"/>
      <c r="G2" s="50"/>
      <c r="H2" s="50"/>
      <c r="V2" s="46" t="s">
        <v>1064</v>
      </c>
      <c r="AB2" s="46" t="s">
        <v>101</v>
      </c>
    </row>
    <row r="3" spans="1:30" s="45" customFormat="1" ht="21.75" customHeight="1">
      <c r="A3" s="51" t="s">
        <v>102</v>
      </c>
      <c r="B3" s="52" t="s">
        <v>103</v>
      </c>
      <c r="C3" s="52" t="s">
        <v>104</v>
      </c>
      <c r="D3" s="52"/>
      <c r="E3" s="52"/>
      <c r="F3" s="53" t="s">
        <v>105</v>
      </c>
      <c r="G3" s="52"/>
      <c r="H3" s="52"/>
      <c r="I3" s="52" t="s">
        <v>106</v>
      </c>
      <c r="J3" s="52"/>
      <c r="K3" s="52"/>
      <c r="L3" s="52"/>
      <c r="M3" s="52"/>
      <c r="N3" s="52"/>
      <c r="O3" s="51" t="s">
        <v>107</v>
      </c>
      <c r="P3" s="51" t="s">
        <v>108</v>
      </c>
      <c r="Q3" s="59" t="s">
        <v>109</v>
      </c>
      <c r="R3" s="69"/>
      <c r="S3" s="69"/>
      <c r="T3" s="53"/>
      <c r="U3" s="52" t="s">
        <v>110</v>
      </c>
      <c r="V3" s="52"/>
      <c r="W3" s="59" t="s">
        <v>111</v>
      </c>
      <c r="X3" s="69"/>
      <c r="Y3" s="53"/>
      <c r="Z3" s="51" t="s">
        <v>112</v>
      </c>
      <c r="AA3" s="52" t="s">
        <v>113</v>
      </c>
      <c r="AB3" s="52"/>
      <c r="AC3" s="51" t="s">
        <v>114</v>
      </c>
      <c r="AD3" s="51" t="s">
        <v>115</v>
      </c>
    </row>
    <row r="4" spans="1:30" s="45" customFormat="1" ht="15.75" customHeight="1">
      <c r="A4" s="54"/>
      <c r="B4" s="52"/>
      <c r="C4" s="52" t="s">
        <v>116</v>
      </c>
      <c r="D4" s="52" t="s">
        <v>117</v>
      </c>
      <c r="E4" s="52" t="s">
        <v>118</v>
      </c>
      <c r="F4" s="55"/>
      <c r="G4" s="56"/>
      <c r="H4" s="56"/>
      <c r="I4" s="52" t="s">
        <v>120</v>
      </c>
      <c r="J4" s="52"/>
      <c r="K4" s="52" t="s">
        <v>121</v>
      </c>
      <c r="L4" s="52"/>
      <c r="M4" s="52" t="s">
        <v>122</v>
      </c>
      <c r="N4" s="52"/>
      <c r="O4" s="54"/>
      <c r="P4" s="66" t="s">
        <v>123</v>
      </c>
      <c r="Q4" s="51"/>
      <c r="R4" s="51"/>
      <c r="S4" s="51"/>
      <c r="T4" s="51"/>
      <c r="U4" s="52" t="s">
        <v>124</v>
      </c>
      <c r="V4" s="52"/>
      <c r="W4" s="51" t="s">
        <v>125</v>
      </c>
      <c r="X4" s="51" t="s">
        <v>126</v>
      </c>
      <c r="Y4" s="51" t="s">
        <v>126</v>
      </c>
      <c r="Z4" s="54" t="s">
        <v>127</v>
      </c>
      <c r="AA4" s="52" t="s">
        <v>128</v>
      </c>
      <c r="AB4" s="52"/>
      <c r="AC4" s="57" t="s">
        <v>129</v>
      </c>
      <c r="AD4" s="57" t="s">
        <v>130</v>
      </c>
    </row>
    <row r="5" spans="1:30" s="45" customFormat="1" ht="15.75" customHeight="1">
      <c r="A5" s="54"/>
      <c r="B5" s="52"/>
      <c r="C5" s="52"/>
      <c r="D5" s="52"/>
      <c r="E5" s="52"/>
      <c r="F5" s="55"/>
      <c r="G5" s="56"/>
      <c r="H5" s="56"/>
      <c r="I5" s="52"/>
      <c r="J5" s="52"/>
      <c r="K5" s="52"/>
      <c r="L5" s="52"/>
      <c r="M5" s="52"/>
      <c r="N5" s="52"/>
      <c r="O5" s="57" t="s">
        <v>131</v>
      </c>
      <c r="P5" s="64" t="s">
        <v>132</v>
      </c>
      <c r="Q5" s="54"/>
      <c r="R5" s="54" t="s">
        <v>133</v>
      </c>
      <c r="S5" s="54"/>
      <c r="T5" s="54"/>
      <c r="U5" s="52"/>
      <c r="V5" s="52"/>
      <c r="W5" s="54"/>
      <c r="X5" s="54"/>
      <c r="Y5" s="54"/>
      <c r="Z5" s="57" t="s">
        <v>134</v>
      </c>
      <c r="AA5" s="52"/>
      <c r="AB5" s="52"/>
      <c r="AC5" s="51" t="s">
        <v>135</v>
      </c>
      <c r="AD5" s="71" t="s">
        <v>136</v>
      </c>
    </row>
    <row r="6" spans="1:30" s="45" customFormat="1" ht="21.75" customHeight="1">
      <c r="A6" s="57" t="s">
        <v>137</v>
      </c>
      <c r="B6" s="52"/>
      <c r="C6" s="52"/>
      <c r="D6" s="52"/>
      <c r="E6" s="52"/>
      <c r="F6" s="53" t="s">
        <v>120</v>
      </c>
      <c r="G6" s="52" t="s">
        <v>121</v>
      </c>
      <c r="H6" s="52" t="s">
        <v>122</v>
      </c>
      <c r="I6" s="52" t="s">
        <v>138</v>
      </c>
      <c r="J6" s="52" t="s">
        <v>139</v>
      </c>
      <c r="K6" s="52" t="s">
        <v>138</v>
      </c>
      <c r="L6" s="52" t="s">
        <v>139</v>
      </c>
      <c r="M6" s="52" t="s">
        <v>138</v>
      </c>
      <c r="N6" s="52" t="s">
        <v>139</v>
      </c>
      <c r="O6" s="52" t="s">
        <v>128</v>
      </c>
      <c r="P6" s="52" t="s">
        <v>128</v>
      </c>
      <c r="Q6" s="70" t="s">
        <v>140</v>
      </c>
      <c r="R6" s="57" t="s">
        <v>141</v>
      </c>
      <c r="S6" s="57" t="s">
        <v>142</v>
      </c>
      <c r="T6" s="57" t="s">
        <v>122</v>
      </c>
      <c r="U6" s="52" t="s">
        <v>138</v>
      </c>
      <c r="V6" s="52" t="s">
        <v>139</v>
      </c>
      <c r="W6" s="57"/>
      <c r="X6" s="57" t="s">
        <v>143</v>
      </c>
      <c r="Y6" s="57" t="s">
        <v>144</v>
      </c>
      <c r="Z6" s="52" t="s">
        <v>145</v>
      </c>
      <c r="AA6" s="56" t="s">
        <v>146</v>
      </c>
      <c r="AB6" s="56" t="s">
        <v>147</v>
      </c>
      <c r="AC6" s="57" t="s">
        <v>148</v>
      </c>
      <c r="AD6" s="70"/>
    </row>
    <row r="7" spans="1:30" ht="28.5" customHeight="1">
      <c r="A7" s="57">
        <v>1</v>
      </c>
      <c r="B7" s="57" t="s">
        <v>1065</v>
      </c>
      <c r="C7" s="52" t="s">
        <v>150</v>
      </c>
      <c r="D7" s="57"/>
      <c r="E7" s="57"/>
      <c r="F7" s="57">
        <v>3.2</v>
      </c>
      <c r="G7" s="57">
        <v>0.5</v>
      </c>
      <c r="H7" s="57">
        <v>3.7</v>
      </c>
      <c r="I7" s="67">
        <v>3860</v>
      </c>
      <c r="J7" s="57">
        <v>19</v>
      </c>
      <c r="K7" s="57">
        <v>1340</v>
      </c>
      <c r="L7" s="57">
        <v>8</v>
      </c>
      <c r="M7" s="57">
        <v>5200</v>
      </c>
      <c r="N7" s="57">
        <v>27</v>
      </c>
      <c r="O7" s="57">
        <v>57</v>
      </c>
      <c r="P7" s="57">
        <v>57</v>
      </c>
      <c r="Q7" s="57"/>
      <c r="R7" s="57">
        <v>1</v>
      </c>
      <c r="S7" s="57"/>
      <c r="T7" s="57">
        <v>1</v>
      </c>
      <c r="U7" s="57"/>
      <c r="V7" s="57"/>
      <c r="W7" s="57">
        <v>2</v>
      </c>
      <c r="X7" s="57">
        <v>25</v>
      </c>
      <c r="Y7" s="57">
        <v>1</v>
      </c>
      <c r="Z7" s="57">
        <v>3</v>
      </c>
      <c r="AA7" s="57">
        <v>3</v>
      </c>
      <c r="AB7" s="57">
        <v>3</v>
      </c>
      <c r="AC7" s="57">
        <v>1091.0987</v>
      </c>
      <c r="AD7" s="57">
        <v>10.78</v>
      </c>
    </row>
    <row r="8" spans="1:30" ht="28.5" customHeight="1">
      <c r="A8" s="52">
        <v>2</v>
      </c>
      <c r="B8" s="57" t="s">
        <v>1066</v>
      </c>
      <c r="C8" s="52" t="s">
        <v>150</v>
      </c>
      <c r="D8" s="52"/>
      <c r="E8" s="52"/>
      <c r="F8" s="52">
        <v>22.77</v>
      </c>
      <c r="G8" s="52">
        <v>0.5</v>
      </c>
      <c r="H8" s="52">
        <v>23.27</v>
      </c>
      <c r="I8" s="68">
        <v>1730</v>
      </c>
      <c r="J8" s="52">
        <v>30</v>
      </c>
      <c r="K8" s="52">
        <v>1960</v>
      </c>
      <c r="L8" s="52">
        <v>7</v>
      </c>
      <c r="M8" s="52">
        <v>3660</v>
      </c>
      <c r="N8" s="52">
        <v>37</v>
      </c>
      <c r="O8" s="52">
        <v>90</v>
      </c>
      <c r="P8" s="52">
        <v>90</v>
      </c>
      <c r="Q8" s="52"/>
      <c r="R8" s="52">
        <v>1</v>
      </c>
      <c r="S8" s="52"/>
      <c r="T8" s="52">
        <v>1</v>
      </c>
      <c r="U8" s="52"/>
      <c r="V8" s="52"/>
      <c r="W8" s="52">
        <v>2</v>
      </c>
      <c r="X8" s="52">
        <v>32</v>
      </c>
      <c r="Y8" s="52">
        <v>1</v>
      </c>
      <c r="Z8" s="52"/>
      <c r="AA8" s="52">
        <v>3</v>
      </c>
      <c r="AB8" s="52">
        <v>3</v>
      </c>
      <c r="AC8" s="52">
        <v>424.1901</v>
      </c>
      <c r="AD8" s="52">
        <v>10.31</v>
      </c>
    </row>
    <row r="9" spans="1:30" ht="28.5" customHeight="1">
      <c r="A9" s="52">
        <v>3</v>
      </c>
      <c r="B9" s="52" t="s">
        <v>1067</v>
      </c>
      <c r="C9" s="52"/>
      <c r="D9" s="52" t="s">
        <v>150</v>
      </c>
      <c r="E9" s="52"/>
      <c r="F9" s="52">
        <v>67.28</v>
      </c>
      <c r="G9" s="52">
        <v>19.7</v>
      </c>
      <c r="H9" s="52">
        <v>85.98</v>
      </c>
      <c r="I9" s="52">
        <v>1995</v>
      </c>
      <c r="J9" s="52">
        <v>41</v>
      </c>
      <c r="K9" s="52">
        <v>2815</v>
      </c>
      <c r="L9" s="52">
        <v>10</v>
      </c>
      <c r="M9" s="52">
        <v>4810</v>
      </c>
      <c r="N9" s="52">
        <v>51</v>
      </c>
      <c r="O9" s="52">
        <v>123</v>
      </c>
      <c r="P9" s="52">
        <v>123</v>
      </c>
      <c r="Q9" s="52"/>
      <c r="R9" s="52">
        <v>2</v>
      </c>
      <c r="S9" s="52"/>
      <c r="T9" s="52">
        <v>2</v>
      </c>
      <c r="U9" s="52"/>
      <c r="V9" s="52"/>
      <c r="W9" s="52">
        <v>4</v>
      </c>
      <c r="X9" s="52">
        <v>78</v>
      </c>
      <c r="Y9" s="52"/>
      <c r="Z9" s="52">
        <v>3</v>
      </c>
      <c r="AA9" s="52">
        <v>9</v>
      </c>
      <c r="AB9" s="52">
        <v>9</v>
      </c>
      <c r="AC9" s="52">
        <v>258.2323</v>
      </c>
      <c r="AD9" s="52">
        <v>10.34</v>
      </c>
    </row>
    <row r="10" spans="1:30" ht="28.5" customHeight="1">
      <c r="A10" s="52">
        <v>4</v>
      </c>
      <c r="B10" s="52" t="s">
        <v>1068</v>
      </c>
      <c r="D10" s="52" t="s">
        <v>150</v>
      </c>
      <c r="E10" s="52"/>
      <c r="F10" s="52">
        <v>93.525</v>
      </c>
      <c r="G10" s="52">
        <v>16.26</v>
      </c>
      <c r="H10" s="52">
        <v>104.785</v>
      </c>
      <c r="I10" s="52">
        <v>2690</v>
      </c>
      <c r="J10" s="52">
        <v>52</v>
      </c>
      <c r="K10" s="52">
        <v>4180</v>
      </c>
      <c r="L10" s="52">
        <v>24</v>
      </c>
      <c r="M10" s="52">
        <v>6870</v>
      </c>
      <c r="N10" s="52">
        <v>76</v>
      </c>
      <c r="O10" s="52">
        <v>156</v>
      </c>
      <c r="P10" s="52">
        <v>156</v>
      </c>
      <c r="Q10" s="52"/>
      <c r="R10" s="52">
        <v>2</v>
      </c>
      <c r="S10" s="52"/>
      <c r="T10" s="52">
        <v>2</v>
      </c>
      <c r="U10" s="52"/>
      <c r="V10" s="52"/>
      <c r="W10" s="52">
        <v>7</v>
      </c>
      <c r="X10" s="52">
        <v>55</v>
      </c>
      <c r="Y10" s="52"/>
      <c r="Z10" s="52">
        <v>2</v>
      </c>
      <c r="AA10" s="52">
        <v>3</v>
      </c>
      <c r="AB10" s="52">
        <v>6</v>
      </c>
      <c r="AC10" s="52">
        <v>598.4657</v>
      </c>
      <c r="AD10" s="52">
        <v>10.26</v>
      </c>
    </row>
    <row r="11" spans="1:30" ht="28.5" customHeight="1">
      <c r="A11" s="52">
        <v>5</v>
      </c>
      <c r="B11" s="52" t="s">
        <v>1069</v>
      </c>
      <c r="C11" s="52"/>
      <c r="D11" s="52" t="s">
        <v>150</v>
      </c>
      <c r="E11" s="52"/>
      <c r="F11" s="52">
        <v>39.934</v>
      </c>
      <c r="G11" s="52">
        <v>9.48</v>
      </c>
      <c r="H11" s="52">
        <v>49.414</v>
      </c>
      <c r="I11" s="52">
        <v>1150</v>
      </c>
      <c r="J11" s="52">
        <v>28</v>
      </c>
      <c r="K11" s="52">
        <v>3338</v>
      </c>
      <c r="L11" s="52">
        <v>21</v>
      </c>
      <c r="M11" s="52">
        <v>4488</v>
      </c>
      <c r="N11" s="52">
        <v>49</v>
      </c>
      <c r="O11" s="52">
        <v>84</v>
      </c>
      <c r="P11" s="52">
        <v>84</v>
      </c>
      <c r="Q11" s="52"/>
      <c r="R11" s="52">
        <v>1</v>
      </c>
      <c r="S11" s="52"/>
      <c r="T11" s="52">
        <v>1</v>
      </c>
      <c r="U11" s="52"/>
      <c r="V11" s="52"/>
      <c r="W11" s="52">
        <v>7</v>
      </c>
      <c r="X11" s="52">
        <v>12</v>
      </c>
      <c r="Y11" s="52"/>
      <c r="Z11" s="52">
        <v>1</v>
      </c>
      <c r="AA11" s="52">
        <v>3</v>
      </c>
      <c r="AB11" s="52">
        <v>3</v>
      </c>
      <c r="AC11" s="52">
        <v>320.9337</v>
      </c>
      <c r="AD11" s="52">
        <v>10.08</v>
      </c>
    </row>
    <row r="12" spans="1:30" ht="28.5" customHeight="1">
      <c r="A12" s="52">
        <v>6</v>
      </c>
      <c r="B12" s="52" t="s">
        <v>1070</v>
      </c>
      <c r="C12" s="52"/>
      <c r="D12" s="52" t="s">
        <v>150</v>
      </c>
      <c r="E12" s="52"/>
      <c r="F12" s="52">
        <v>47.733</v>
      </c>
      <c r="G12" s="52">
        <v>11.106</v>
      </c>
      <c r="H12" s="52">
        <v>58.839</v>
      </c>
      <c r="I12" s="52">
        <v>1830</v>
      </c>
      <c r="J12" s="52">
        <v>28</v>
      </c>
      <c r="K12" s="52">
        <v>2130</v>
      </c>
      <c r="L12" s="52">
        <v>27</v>
      </c>
      <c r="M12" s="52">
        <v>3960</v>
      </c>
      <c r="N12" s="52">
        <v>55</v>
      </c>
      <c r="O12" s="52">
        <v>84</v>
      </c>
      <c r="P12" s="52">
        <v>84</v>
      </c>
      <c r="Q12" s="52"/>
      <c r="R12" s="52">
        <v>2</v>
      </c>
      <c r="S12" s="52"/>
      <c r="T12" s="52">
        <v>2</v>
      </c>
      <c r="U12" s="52"/>
      <c r="V12" s="52"/>
      <c r="W12" s="52"/>
      <c r="X12" s="52">
        <v>14</v>
      </c>
      <c r="Y12" s="52"/>
      <c r="Z12" s="52">
        <v>1</v>
      </c>
      <c r="AA12" s="52"/>
      <c r="AB12" s="52"/>
      <c r="AC12" s="52">
        <v>437.2258</v>
      </c>
      <c r="AD12" s="52">
        <v>9.29</v>
      </c>
    </row>
    <row r="13" spans="1:30" ht="28.5" customHeight="1">
      <c r="A13" s="52">
        <v>7</v>
      </c>
      <c r="B13" s="52" t="s">
        <v>1071</v>
      </c>
      <c r="C13" s="52"/>
      <c r="D13" s="52" t="s">
        <v>150</v>
      </c>
      <c r="E13" s="52"/>
      <c r="F13" s="58">
        <v>81.737</v>
      </c>
      <c r="G13" s="52">
        <v>11.5</v>
      </c>
      <c r="H13" s="52">
        <v>92.937</v>
      </c>
      <c r="I13" s="52">
        <v>790</v>
      </c>
      <c r="J13" s="52">
        <v>22</v>
      </c>
      <c r="K13" s="52">
        <v>920</v>
      </c>
      <c r="L13" s="52">
        <v>9</v>
      </c>
      <c r="M13" s="52">
        <v>1710</v>
      </c>
      <c r="N13" s="52">
        <v>31</v>
      </c>
      <c r="O13" s="52">
        <v>66</v>
      </c>
      <c r="P13" s="52">
        <v>66</v>
      </c>
      <c r="Q13" s="52"/>
      <c r="R13" s="52">
        <v>1</v>
      </c>
      <c r="S13" s="52"/>
      <c r="T13" s="52">
        <v>1</v>
      </c>
      <c r="U13" s="52"/>
      <c r="V13" s="52"/>
      <c r="W13" s="52">
        <v>8</v>
      </c>
      <c r="X13" s="52">
        <v>25</v>
      </c>
      <c r="Y13" s="52"/>
      <c r="Z13" s="52">
        <v>2</v>
      </c>
      <c r="AA13" s="52">
        <v>3</v>
      </c>
      <c r="AB13" s="52">
        <v>3</v>
      </c>
      <c r="AC13" s="52">
        <v>208.5788</v>
      </c>
      <c r="AD13" s="52">
        <v>11.01</v>
      </c>
    </row>
    <row r="14" spans="1:30" ht="28.5" customHeight="1">
      <c r="A14" s="52">
        <v>8</v>
      </c>
      <c r="B14" s="52" t="s">
        <v>1072</v>
      </c>
      <c r="C14" s="52"/>
      <c r="D14" s="52" t="s">
        <v>150</v>
      </c>
      <c r="E14" s="52"/>
      <c r="F14" s="52">
        <v>91.745</v>
      </c>
      <c r="G14" s="52">
        <v>16.01</v>
      </c>
      <c r="H14" s="52">
        <v>107.755</v>
      </c>
      <c r="I14" s="52">
        <v>2030</v>
      </c>
      <c r="J14" s="52">
        <v>40</v>
      </c>
      <c r="K14" s="52">
        <v>4665</v>
      </c>
      <c r="L14" s="52">
        <v>21</v>
      </c>
      <c r="M14" s="52">
        <v>6695</v>
      </c>
      <c r="N14" s="52">
        <v>61</v>
      </c>
      <c r="O14" s="52">
        <v>120</v>
      </c>
      <c r="P14" s="52">
        <v>120</v>
      </c>
      <c r="Q14" s="52"/>
      <c r="R14" s="52">
        <v>1</v>
      </c>
      <c r="S14" s="52"/>
      <c r="T14" s="52">
        <v>1</v>
      </c>
      <c r="U14" s="52"/>
      <c r="V14" s="52"/>
      <c r="W14" s="52">
        <v>5</v>
      </c>
      <c r="X14" s="52">
        <v>31</v>
      </c>
      <c r="Y14" s="52"/>
      <c r="Z14" s="52">
        <v>1</v>
      </c>
      <c r="AA14" s="52">
        <v>3</v>
      </c>
      <c r="AB14" s="52">
        <v>3</v>
      </c>
      <c r="AC14" s="52">
        <v>212.6452</v>
      </c>
      <c r="AD14" s="52">
        <v>9.66</v>
      </c>
    </row>
    <row r="15" spans="1:30" ht="28.5" customHeight="1">
      <c r="A15" s="52">
        <v>9</v>
      </c>
      <c r="B15" s="52" t="s">
        <v>1073</v>
      </c>
      <c r="C15" s="52"/>
      <c r="D15" s="52" t="s">
        <v>150</v>
      </c>
      <c r="E15" s="52"/>
      <c r="F15" s="52">
        <v>81.557</v>
      </c>
      <c r="G15" s="52">
        <v>2.2</v>
      </c>
      <c r="H15" s="52">
        <v>80.1</v>
      </c>
      <c r="I15" s="52">
        <v>1685</v>
      </c>
      <c r="J15" s="52">
        <v>28</v>
      </c>
      <c r="K15" s="52">
        <v>660</v>
      </c>
      <c r="L15" s="52">
        <v>4</v>
      </c>
      <c r="M15" s="52">
        <v>2345</v>
      </c>
      <c r="N15" s="52">
        <v>32</v>
      </c>
      <c r="O15" s="52">
        <v>84</v>
      </c>
      <c r="P15" s="52">
        <v>84</v>
      </c>
      <c r="Q15" s="52"/>
      <c r="R15" s="52">
        <v>1</v>
      </c>
      <c r="S15" s="52"/>
      <c r="T15" s="52">
        <v>1</v>
      </c>
      <c r="U15" s="52"/>
      <c r="V15" s="52"/>
      <c r="W15" s="52">
        <v>4</v>
      </c>
      <c r="X15" s="52">
        <v>28</v>
      </c>
      <c r="Y15" s="52"/>
      <c r="Z15" s="52">
        <v>4</v>
      </c>
      <c r="AA15" s="52">
        <v>6</v>
      </c>
      <c r="AB15" s="52">
        <v>6</v>
      </c>
      <c r="AC15" s="52">
        <v>148.0926</v>
      </c>
      <c r="AD15" s="52">
        <v>11.08</v>
      </c>
    </row>
    <row r="16" spans="1:30" ht="28.5" customHeight="1">
      <c r="A16" s="52"/>
      <c r="B16" s="52"/>
      <c r="C16" s="52"/>
      <c r="D16" s="52"/>
      <c r="E16" s="52"/>
      <c r="F16" s="52"/>
      <c r="H16" s="59"/>
      <c r="I16" s="52"/>
      <c r="J16" s="52"/>
      <c r="K16" s="52"/>
      <c r="L16" s="52"/>
      <c r="M16" s="52"/>
      <c r="N16" s="52"/>
      <c r="P16" s="52"/>
      <c r="Q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ht="28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0" ht="28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ht="28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ht="28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ht="28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ht="28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ht="28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ht="28.5" customHeight="1">
      <c r="A24" s="59" t="s">
        <v>122</v>
      </c>
      <c r="B24" s="5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ht="28.5" customHeight="1">
      <c r="A25" s="60" t="s">
        <v>209</v>
      </c>
      <c r="B25" s="61"/>
      <c r="C25" s="51">
        <v>2</v>
      </c>
      <c r="D25" s="51">
        <v>7</v>
      </c>
      <c r="E25" s="51">
        <v>0</v>
      </c>
      <c r="F25" s="62">
        <f>SUM(F7:F24)</f>
        <v>529.481</v>
      </c>
      <c r="G25" s="52">
        <f>SUM(G7:G15)</f>
        <v>87.256</v>
      </c>
      <c r="H25" s="52">
        <f>SUM(H7:H15)</f>
        <v>606.7800000000001</v>
      </c>
      <c r="I25" s="52">
        <f aca="true" t="shared" si="0" ref="I25:P25">SUM(I7:I15)</f>
        <v>17760</v>
      </c>
      <c r="J25" s="52">
        <f t="shared" si="0"/>
        <v>288</v>
      </c>
      <c r="K25" s="52">
        <f t="shared" si="0"/>
        <v>22008</v>
      </c>
      <c r="L25" s="52">
        <f t="shared" si="0"/>
        <v>131</v>
      </c>
      <c r="M25" s="52">
        <f t="shared" si="0"/>
        <v>39738</v>
      </c>
      <c r="N25" s="52">
        <f t="shared" si="0"/>
        <v>419</v>
      </c>
      <c r="O25" s="52">
        <f t="shared" si="0"/>
        <v>864</v>
      </c>
      <c r="P25" s="52">
        <f t="shared" si="0"/>
        <v>864</v>
      </c>
      <c r="Q25" s="51"/>
      <c r="R25" s="46">
        <f aca="true" t="shared" si="1" ref="R25:AA25">SUM(R7:R15)</f>
        <v>12</v>
      </c>
      <c r="S25" s="52"/>
      <c r="T25" s="52">
        <f t="shared" si="1"/>
        <v>12</v>
      </c>
      <c r="U25" s="52"/>
      <c r="V25" s="52"/>
      <c r="W25" s="52">
        <f t="shared" si="1"/>
        <v>39</v>
      </c>
      <c r="X25" s="52">
        <f t="shared" si="1"/>
        <v>300</v>
      </c>
      <c r="Y25" s="52">
        <f t="shared" si="1"/>
        <v>2</v>
      </c>
      <c r="Z25" s="52">
        <f t="shared" si="1"/>
        <v>17</v>
      </c>
      <c r="AA25" s="52">
        <f t="shared" si="1"/>
        <v>33</v>
      </c>
      <c r="AB25" s="52">
        <v>36</v>
      </c>
      <c r="AC25" s="51">
        <f>SUM(AC7:AC24)</f>
        <v>3699.4628999999995</v>
      </c>
      <c r="AD25" s="51">
        <v>10.34</v>
      </c>
    </row>
    <row r="26" spans="1:30" ht="21.75" customHeight="1">
      <c r="A26" s="60"/>
      <c r="B26" s="63" t="s">
        <v>210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1"/>
    </row>
    <row r="27" spans="1:30" ht="21.75" customHeight="1">
      <c r="A27" s="64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72"/>
    </row>
    <row r="28" spans="4:28" ht="21.75" customHeight="1">
      <c r="D28" s="46" t="s">
        <v>176</v>
      </c>
      <c r="I28" s="63" t="s">
        <v>925</v>
      </c>
      <c r="J28" s="63"/>
      <c r="K28" s="63"/>
      <c r="R28" s="46" t="s">
        <v>177</v>
      </c>
      <c r="Y28" s="63" t="s">
        <v>1074</v>
      </c>
      <c r="Z28" s="63"/>
      <c r="AA28" s="63"/>
      <c r="AB28" s="63"/>
    </row>
    <row r="29" ht="21.75" customHeight="1"/>
    <row r="30" ht="21.75" customHeight="1"/>
    <row r="31" spans="4:5" ht="21.75" customHeight="1">
      <c r="D31" s="65"/>
      <c r="E31" s="65"/>
    </row>
    <row r="32" spans="4:5" ht="21.75" customHeight="1">
      <c r="D32" s="65"/>
      <c r="E32" s="65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5">
    <mergeCell ref="A1:AD1"/>
    <mergeCell ref="B2:F2"/>
    <mergeCell ref="C3:E3"/>
    <mergeCell ref="F3:H3"/>
    <mergeCell ref="I3:N3"/>
    <mergeCell ref="Q3:T3"/>
    <mergeCell ref="U3:V3"/>
    <mergeCell ref="W3:Y3"/>
    <mergeCell ref="AA3:AB3"/>
    <mergeCell ref="A24:B24"/>
    <mergeCell ref="A25:B25"/>
    <mergeCell ref="I28:K28"/>
    <mergeCell ref="Y28:AB28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 horizontalCentered="1" verticalCentered="1"/>
  <pageMargins left="0.75" right="0.42986111111111114" top="0.9395833333333333" bottom="0.8694444444444445" header="0.38958333333333334" footer="0.5097222222222222"/>
  <pageSetup fitToHeight="1" fitToWidth="1" horizontalDpi="360" verticalDpi="360" orientation="landscape" paperSize="8" scale="87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41"/>
  <sheetViews>
    <sheetView zoomScale="75" zoomScaleNormal="75" workbookViewId="0" topLeftCell="A1">
      <selection activeCell="A1" sqref="A1:AD1"/>
    </sheetView>
  </sheetViews>
  <sheetFormatPr defaultColWidth="9.00390625" defaultRowHeight="14.25"/>
  <cols>
    <col min="1" max="1" width="3.125" style="2" customWidth="1"/>
    <col min="2" max="2" width="11.875" style="2" customWidth="1"/>
    <col min="3" max="3" width="2.25390625" style="2" customWidth="1"/>
    <col min="4" max="4" width="3.25390625" style="2" customWidth="1"/>
    <col min="5" max="5" width="2.50390625" style="2" customWidth="1"/>
    <col min="6" max="7" width="7.875" style="2" customWidth="1"/>
    <col min="8" max="8" width="8.125" style="2" customWidth="1"/>
    <col min="9" max="9" width="6.50390625" style="2" customWidth="1"/>
    <col min="10" max="10" width="4.25390625" style="2" customWidth="1"/>
    <col min="11" max="11" width="6.125" style="2" customWidth="1"/>
    <col min="12" max="12" width="4.50390625" style="2" customWidth="1"/>
    <col min="13" max="13" width="6.875" style="2" customWidth="1"/>
    <col min="14" max="14" width="5.50390625" style="2" bestFit="1" customWidth="1"/>
    <col min="15" max="15" width="5.625" style="2" customWidth="1"/>
    <col min="16" max="16" width="5.25390625" style="2" customWidth="1"/>
    <col min="17" max="17" width="3.75390625" style="2" customWidth="1"/>
    <col min="18" max="18" width="4.00390625" style="2" customWidth="1"/>
    <col min="19" max="19" width="3.625" style="2" customWidth="1"/>
    <col min="20" max="20" width="6.00390625" style="2" customWidth="1"/>
    <col min="21" max="21" width="6.875" style="2" customWidth="1"/>
    <col min="22" max="22" width="5.375" style="2" customWidth="1"/>
    <col min="23" max="24" width="6.75390625" style="2" customWidth="1"/>
    <col min="25" max="25" width="6.375" style="2" customWidth="1"/>
    <col min="26" max="26" width="6.50390625" style="2" customWidth="1"/>
    <col min="27" max="27" width="7.125" style="2" customWidth="1"/>
    <col min="28" max="28" width="11.625" style="2" customWidth="1"/>
    <col min="29" max="29" width="11.00390625" style="2" customWidth="1"/>
    <col min="30" max="30" width="6.50390625" style="2" customWidth="1"/>
    <col min="31" max="31" width="5.625" style="2" customWidth="1"/>
    <col min="32" max="32" width="4.375" style="2" customWidth="1"/>
    <col min="33" max="35" width="4.75390625" style="2" customWidth="1"/>
    <col min="36" max="36" width="5.50390625" style="2" customWidth="1"/>
    <col min="37" max="37" width="5.25390625" style="2" customWidth="1"/>
    <col min="38" max="38" width="4.375" style="2" customWidth="1"/>
    <col min="39" max="16384" width="9.00390625" style="2" customWidth="1"/>
  </cols>
  <sheetData>
    <row r="1" spans="1:30" ht="21">
      <c r="A1" s="3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28" ht="15">
      <c r="A2" s="2" t="s">
        <v>98</v>
      </c>
      <c r="V2" s="2" t="s">
        <v>1075</v>
      </c>
      <c r="AB2" s="2" t="s">
        <v>101</v>
      </c>
    </row>
    <row r="3" spans="1:30" s="1" customFormat="1" ht="15">
      <c r="A3" s="5" t="s">
        <v>102</v>
      </c>
      <c r="B3" s="6" t="s">
        <v>103</v>
      </c>
      <c r="C3" s="6" t="s">
        <v>104</v>
      </c>
      <c r="D3" s="6"/>
      <c r="E3" s="6"/>
      <c r="F3" s="7" t="s">
        <v>105</v>
      </c>
      <c r="G3" s="8"/>
      <c r="H3" s="8"/>
      <c r="I3" s="8" t="s">
        <v>106</v>
      </c>
      <c r="J3" s="8"/>
      <c r="K3" s="8"/>
      <c r="L3" s="8"/>
      <c r="M3" s="8"/>
      <c r="N3" s="8"/>
      <c r="O3" s="5" t="s">
        <v>107</v>
      </c>
      <c r="P3" s="5" t="s">
        <v>108</v>
      </c>
      <c r="Q3" s="22" t="s">
        <v>109</v>
      </c>
      <c r="R3" s="38"/>
      <c r="S3" s="38"/>
      <c r="T3" s="7"/>
      <c r="U3" s="8" t="s">
        <v>110</v>
      </c>
      <c r="V3" s="8"/>
      <c r="W3" s="22" t="s">
        <v>111</v>
      </c>
      <c r="X3" s="38"/>
      <c r="Y3" s="7"/>
      <c r="Z3" s="5" t="s">
        <v>112</v>
      </c>
      <c r="AA3" s="8" t="s">
        <v>113</v>
      </c>
      <c r="AB3" s="8"/>
      <c r="AC3" s="5" t="s">
        <v>114</v>
      </c>
      <c r="AD3" s="5" t="s">
        <v>115</v>
      </c>
    </row>
    <row r="4" spans="1:30" s="1" customFormat="1" ht="15.75" customHeight="1">
      <c r="A4" s="9"/>
      <c r="B4" s="6"/>
      <c r="C4" s="6" t="s">
        <v>116</v>
      </c>
      <c r="D4" s="6" t="s">
        <v>117</v>
      </c>
      <c r="E4" s="6" t="s">
        <v>118</v>
      </c>
      <c r="F4" s="10" t="s">
        <v>119</v>
      </c>
      <c r="G4" s="11"/>
      <c r="H4" s="11"/>
      <c r="I4" s="8" t="s">
        <v>120</v>
      </c>
      <c r="J4" s="8"/>
      <c r="K4" s="8" t="s">
        <v>121</v>
      </c>
      <c r="L4" s="8"/>
      <c r="M4" s="8" t="s">
        <v>122</v>
      </c>
      <c r="N4" s="8"/>
      <c r="O4" s="9"/>
      <c r="P4" s="31" t="s">
        <v>123</v>
      </c>
      <c r="Q4" s="5"/>
      <c r="R4" s="5"/>
      <c r="S4" s="5"/>
      <c r="T4" s="5"/>
      <c r="U4" s="8" t="s">
        <v>124</v>
      </c>
      <c r="V4" s="8"/>
      <c r="W4" s="5" t="s">
        <v>125</v>
      </c>
      <c r="X4" s="5" t="s">
        <v>126</v>
      </c>
      <c r="Y4" s="5" t="s">
        <v>126</v>
      </c>
      <c r="Z4" s="9" t="s">
        <v>127</v>
      </c>
      <c r="AA4" s="8" t="s">
        <v>128</v>
      </c>
      <c r="AB4" s="8"/>
      <c r="AC4" s="12" t="s">
        <v>129</v>
      </c>
      <c r="AD4" s="12" t="s">
        <v>130</v>
      </c>
    </row>
    <row r="5" spans="1:30" s="1" customFormat="1" ht="15.75" customHeight="1">
      <c r="A5" s="9"/>
      <c r="B5" s="6"/>
      <c r="C5" s="6"/>
      <c r="D5" s="6"/>
      <c r="E5" s="6"/>
      <c r="F5" s="10"/>
      <c r="G5" s="11"/>
      <c r="H5" s="11"/>
      <c r="I5" s="8"/>
      <c r="J5" s="8"/>
      <c r="K5" s="8"/>
      <c r="L5" s="8"/>
      <c r="M5" s="8"/>
      <c r="N5" s="8"/>
      <c r="O5" s="12" t="s">
        <v>131</v>
      </c>
      <c r="P5" s="27" t="s">
        <v>132</v>
      </c>
      <c r="Q5" s="9"/>
      <c r="R5" s="9" t="s">
        <v>133</v>
      </c>
      <c r="S5" s="9"/>
      <c r="T5" s="9"/>
      <c r="U5" s="8"/>
      <c r="V5" s="8"/>
      <c r="W5" s="9"/>
      <c r="X5" s="9"/>
      <c r="Y5" s="9"/>
      <c r="Z5" s="12" t="s">
        <v>134</v>
      </c>
      <c r="AA5" s="8"/>
      <c r="AB5" s="8"/>
      <c r="AC5" s="5" t="s">
        <v>135</v>
      </c>
      <c r="AD5" s="40" t="s">
        <v>136</v>
      </c>
    </row>
    <row r="6" spans="1:30" s="1" customFormat="1" ht="15">
      <c r="A6" s="12" t="s">
        <v>137</v>
      </c>
      <c r="B6" s="6"/>
      <c r="C6" s="6"/>
      <c r="D6" s="6"/>
      <c r="E6" s="6"/>
      <c r="F6" s="7" t="s">
        <v>120</v>
      </c>
      <c r="G6" s="8" t="s">
        <v>121</v>
      </c>
      <c r="H6" s="8" t="s">
        <v>122</v>
      </c>
      <c r="I6" s="8" t="s">
        <v>138</v>
      </c>
      <c r="J6" s="8" t="s">
        <v>139</v>
      </c>
      <c r="K6" s="8" t="s">
        <v>138</v>
      </c>
      <c r="L6" s="8" t="s">
        <v>139</v>
      </c>
      <c r="M6" s="8" t="s">
        <v>138</v>
      </c>
      <c r="N6" s="8" t="s">
        <v>139</v>
      </c>
      <c r="O6" s="8" t="s">
        <v>128</v>
      </c>
      <c r="P6" s="8" t="s">
        <v>128</v>
      </c>
      <c r="Q6" s="39" t="s">
        <v>140</v>
      </c>
      <c r="R6" s="12" t="s">
        <v>141</v>
      </c>
      <c r="S6" s="12" t="s">
        <v>142</v>
      </c>
      <c r="T6" s="12" t="s">
        <v>122</v>
      </c>
      <c r="U6" s="8" t="s">
        <v>138</v>
      </c>
      <c r="V6" s="8" t="s">
        <v>139</v>
      </c>
      <c r="W6" s="12"/>
      <c r="X6" s="12" t="s">
        <v>143</v>
      </c>
      <c r="Y6" s="12" t="s">
        <v>144</v>
      </c>
      <c r="Z6" s="8" t="s">
        <v>145</v>
      </c>
      <c r="AA6" s="11" t="s">
        <v>146</v>
      </c>
      <c r="AB6" s="11" t="s">
        <v>147</v>
      </c>
      <c r="AC6" s="12" t="s">
        <v>148</v>
      </c>
      <c r="AD6" s="39"/>
    </row>
    <row r="7" spans="1:30" ht="21.75" customHeight="1">
      <c r="A7" s="13">
        <v>1</v>
      </c>
      <c r="B7" s="13" t="s">
        <v>1076</v>
      </c>
      <c r="C7" s="13" t="s">
        <v>150</v>
      </c>
      <c r="D7" s="13"/>
      <c r="E7" s="13"/>
      <c r="F7" s="14">
        <v>15.96</v>
      </c>
      <c r="G7" s="13"/>
      <c r="H7" s="14">
        <v>15.96</v>
      </c>
      <c r="I7" s="32">
        <v>4340</v>
      </c>
      <c r="J7" s="32">
        <v>23</v>
      </c>
      <c r="K7" s="32">
        <f aca="true" t="shared" si="0" ref="K7:K9">M7-I7</f>
        <v>1715</v>
      </c>
      <c r="L7" s="32">
        <v>11</v>
      </c>
      <c r="M7" s="33">
        <v>6055</v>
      </c>
      <c r="N7" s="33">
        <v>34</v>
      </c>
      <c r="O7" s="13">
        <v>120</v>
      </c>
      <c r="P7" s="13">
        <v>120</v>
      </c>
      <c r="Q7" s="13"/>
      <c r="R7" s="13">
        <v>7</v>
      </c>
      <c r="S7" s="13"/>
      <c r="T7" s="13">
        <f>R7+S7</f>
        <v>7</v>
      </c>
      <c r="U7" s="13"/>
      <c r="V7" s="13"/>
      <c r="W7" s="32">
        <v>2997</v>
      </c>
      <c r="X7" s="32">
        <v>62</v>
      </c>
      <c r="Y7" s="32">
        <v>23</v>
      </c>
      <c r="Z7" s="32"/>
      <c r="AA7" s="32">
        <f>N7*3</f>
        <v>102</v>
      </c>
      <c r="AB7" s="41"/>
      <c r="AC7" s="41">
        <v>1723.3629</v>
      </c>
      <c r="AD7" s="13">
        <v>2.39</v>
      </c>
    </row>
    <row r="8" spans="1:30" ht="21.75" customHeight="1">
      <c r="A8" s="15">
        <v>2</v>
      </c>
      <c r="B8" s="15" t="s">
        <v>1077</v>
      </c>
      <c r="C8" s="15" t="s">
        <v>150</v>
      </c>
      <c r="D8" s="15"/>
      <c r="E8" s="15"/>
      <c r="F8" s="14">
        <v>9.72</v>
      </c>
      <c r="G8" s="15"/>
      <c r="H8" s="14">
        <v>9.72</v>
      </c>
      <c r="I8" s="32">
        <v>2850</v>
      </c>
      <c r="J8" s="32">
        <v>14</v>
      </c>
      <c r="K8" s="32">
        <f t="shared" si="0"/>
        <v>1715</v>
      </c>
      <c r="L8" s="32">
        <v>10</v>
      </c>
      <c r="M8" s="33">
        <v>4565</v>
      </c>
      <c r="N8" s="33">
        <v>24</v>
      </c>
      <c r="O8" s="15">
        <f>32*3</f>
        <v>96</v>
      </c>
      <c r="P8" s="15">
        <f>32*3</f>
        <v>96</v>
      </c>
      <c r="Q8" s="15"/>
      <c r="R8" s="15">
        <v>7</v>
      </c>
      <c r="S8" s="15"/>
      <c r="T8" s="13">
        <f aca="true" t="shared" si="1" ref="T8:T33">R8+S8</f>
        <v>7</v>
      </c>
      <c r="U8" s="15"/>
      <c r="V8" s="15"/>
      <c r="W8" s="32">
        <v>782</v>
      </c>
      <c r="X8" s="32">
        <v>28</v>
      </c>
      <c r="Y8" s="32">
        <v>10</v>
      </c>
      <c r="Z8" s="32"/>
      <c r="AA8" s="32">
        <f aca="true" t="shared" si="2" ref="AA8:AA33">N8*3</f>
        <v>72</v>
      </c>
      <c r="AB8" s="19"/>
      <c r="AC8" s="19">
        <v>859.4809</v>
      </c>
      <c r="AD8" s="15">
        <v>4.67</v>
      </c>
    </row>
    <row r="9" spans="1:30" ht="21.75" customHeight="1">
      <c r="A9" s="13">
        <v>3</v>
      </c>
      <c r="B9" s="15" t="s">
        <v>1078</v>
      </c>
      <c r="C9" s="15"/>
      <c r="D9" s="15" t="s">
        <v>150</v>
      </c>
      <c r="E9" s="15"/>
      <c r="F9" s="14">
        <v>17.64</v>
      </c>
      <c r="G9" s="15"/>
      <c r="H9" s="14">
        <v>17.64</v>
      </c>
      <c r="I9" s="32">
        <v>320</v>
      </c>
      <c r="J9" s="32">
        <v>6</v>
      </c>
      <c r="K9" s="32">
        <f t="shared" si="0"/>
        <v>600</v>
      </c>
      <c r="L9" s="32">
        <v>4</v>
      </c>
      <c r="M9" s="33">
        <v>920</v>
      </c>
      <c r="N9" s="33">
        <v>10</v>
      </c>
      <c r="O9" s="15">
        <v>33</v>
      </c>
      <c r="P9" s="15">
        <v>33</v>
      </c>
      <c r="Q9" s="15"/>
      <c r="R9" s="15"/>
      <c r="S9" s="15">
        <v>1</v>
      </c>
      <c r="T9" s="13">
        <f t="shared" si="1"/>
        <v>1</v>
      </c>
      <c r="U9" s="15"/>
      <c r="V9" s="15"/>
      <c r="W9" s="32">
        <v>993</v>
      </c>
      <c r="X9" s="32">
        <v>15</v>
      </c>
      <c r="Y9" s="32"/>
      <c r="Z9" s="32"/>
      <c r="AA9" s="32">
        <f t="shared" si="2"/>
        <v>30</v>
      </c>
      <c r="AB9" s="19"/>
      <c r="AC9" s="19">
        <v>149.9383</v>
      </c>
      <c r="AD9" s="15">
        <v>6.41</v>
      </c>
    </row>
    <row r="10" spans="1:30" ht="21.75" customHeight="1">
      <c r="A10" s="15">
        <v>4</v>
      </c>
      <c r="B10" s="15" t="s">
        <v>1079</v>
      </c>
      <c r="C10" s="15"/>
      <c r="D10" s="15" t="s">
        <v>150</v>
      </c>
      <c r="E10" s="15"/>
      <c r="F10" s="14">
        <v>64.18</v>
      </c>
      <c r="G10" s="15"/>
      <c r="H10" s="14">
        <v>64.18</v>
      </c>
      <c r="I10" s="32">
        <f>M10-K10</f>
        <v>905</v>
      </c>
      <c r="J10" s="32">
        <v>26</v>
      </c>
      <c r="K10" s="32">
        <v>550</v>
      </c>
      <c r="L10" s="32">
        <v>4</v>
      </c>
      <c r="M10" s="33">
        <v>1455</v>
      </c>
      <c r="N10" s="33">
        <v>30</v>
      </c>
      <c r="O10" s="15">
        <f>37*3</f>
        <v>111</v>
      </c>
      <c r="P10" s="15">
        <f>37*3</f>
        <v>111</v>
      </c>
      <c r="Q10" s="15"/>
      <c r="R10" s="15">
        <v>1</v>
      </c>
      <c r="S10" s="15"/>
      <c r="T10" s="13">
        <f t="shared" si="1"/>
        <v>1</v>
      </c>
      <c r="U10" s="15">
        <v>100</v>
      </c>
      <c r="V10" s="15">
        <v>1</v>
      </c>
      <c r="W10" s="32">
        <v>930</v>
      </c>
      <c r="X10" s="32">
        <v>34</v>
      </c>
      <c r="Y10" s="32">
        <v>1</v>
      </c>
      <c r="Z10" s="32"/>
      <c r="AA10" s="32">
        <f t="shared" si="2"/>
        <v>90</v>
      </c>
      <c r="AB10" s="19"/>
      <c r="AC10" s="19">
        <v>172.4178</v>
      </c>
      <c r="AD10" s="15">
        <v>5.97</v>
      </c>
    </row>
    <row r="11" spans="1:30" ht="21.75" customHeight="1">
      <c r="A11" s="13">
        <v>5</v>
      </c>
      <c r="B11" s="15" t="s">
        <v>1080</v>
      </c>
      <c r="C11" s="15" t="s">
        <v>150</v>
      </c>
      <c r="D11" s="15"/>
      <c r="E11" s="15"/>
      <c r="F11" s="16">
        <v>3.2</v>
      </c>
      <c r="G11" s="15"/>
      <c r="H11" s="16">
        <v>3.2</v>
      </c>
      <c r="I11" s="19">
        <v>1870</v>
      </c>
      <c r="J11" s="19">
        <v>11</v>
      </c>
      <c r="K11" s="19">
        <f aca="true" t="shared" si="3" ref="K11:K13">M11-I11</f>
        <v>800</v>
      </c>
      <c r="L11" s="19">
        <v>5</v>
      </c>
      <c r="M11" s="33">
        <v>2670</v>
      </c>
      <c r="N11" s="33">
        <v>16</v>
      </c>
      <c r="O11" s="15">
        <v>60</v>
      </c>
      <c r="P11" s="15">
        <v>60</v>
      </c>
      <c r="Q11" s="15"/>
      <c r="R11" s="15">
        <v>1</v>
      </c>
      <c r="S11" s="15"/>
      <c r="T11" s="13">
        <f t="shared" si="1"/>
        <v>1</v>
      </c>
      <c r="U11" s="15"/>
      <c r="V11" s="15"/>
      <c r="W11" s="19">
        <v>720</v>
      </c>
      <c r="X11" s="19">
        <v>20</v>
      </c>
      <c r="Y11" s="19">
        <v>1</v>
      </c>
      <c r="Z11" s="19"/>
      <c r="AA11" s="32">
        <f t="shared" si="2"/>
        <v>48</v>
      </c>
      <c r="AB11" s="19"/>
      <c r="AC11" s="19">
        <v>355.8464</v>
      </c>
      <c r="AD11" s="15">
        <v>4.09</v>
      </c>
    </row>
    <row r="12" spans="1:30" ht="21.75" customHeight="1">
      <c r="A12" s="15">
        <v>6</v>
      </c>
      <c r="B12" s="15" t="s">
        <v>1081</v>
      </c>
      <c r="C12" s="15" t="s">
        <v>150</v>
      </c>
      <c r="D12" s="15"/>
      <c r="E12" s="15"/>
      <c r="F12" s="14">
        <v>12.64</v>
      </c>
      <c r="G12" s="15"/>
      <c r="H12" s="14">
        <v>12.64</v>
      </c>
      <c r="I12" s="32">
        <v>1630</v>
      </c>
      <c r="J12" s="32">
        <v>11</v>
      </c>
      <c r="K12" s="19">
        <f t="shared" si="3"/>
        <v>1015</v>
      </c>
      <c r="L12" s="32">
        <v>8</v>
      </c>
      <c r="M12" s="33">
        <v>2645</v>
      </c>
      <c r="N12" s="33">
        <v>19</v>
      </c>
      <c r="O12" s="15">
        <v>60</v>
      </c>
      <c r="P12" s="15">
        <v>60</v>
      </c>
      <c r="Q12" s="15"/>
      <c r="R12" s="15">
        <v>1</v>
      </c>
      <c r="S12" s="15"/>
      <c r="T12" s="13">
        <f t="shared" si="1"/>
        <v>1</v>
      </c>
      <c r="U12" s="15"/>
      <c r="V12" s="15"/>
      <c r="W12" s="32">
        <v>761</v>
      </c>
      <c r="X12" s="32">
        <v>23</v>
      </c>
      <c r="Y12" s="32">
        <v>4</v>
      </c>
      <c r="Z12" s="32"/>
      <c r="AA12" s="32">
        <f t="shared" si="2"/>
        <v>57</v>
      </c>
      <c r="AB12" s="19"/>
      <c r="AC12" s="19">
        <v>367.2891</v>
      </c>
      <c r="AD12" s="15">
        <v>4.06</v>
      </c>
    </row>
    <row r="13" spans="1:30" ht="21.75" customHeight="1">
      <c r="A13" s="13">
        <v>7</v>
      </c>
      <c r="B13" s="15" t="s">
        <v>1082</v>
      </c>
      <c r="C13" s="15"/>
      <c r="D13" s="15" t="s">
        <v>150</v>
      </c>
      <c r="E13" s="15"/>
      <c r="F13" s="14">
        <v>18.68</v>
      </c>
      <c r="G13" s="15"/>
      <c r="H13" s="14">
        <v>18.68</v>
      </c>
      <c r="I13" s="32">
        <v>1980</v>
      </c>
      <c r="J13" s="32">
        <v>27</v>
      </c>
      <c r="K13" s="19">
        <f t="shared" si="3"/>
        <v>2380</v>
      </c>
      <c r="L13" s="32">
        <v>15</v>
      </c>
      <c r="M13" s="33">
        <v>4360</v>
      </c>
      <c r="N13" s="33">
        <v>37</v>
      </c>
      <c r="O13" s="15">
        <f>41*3</f>
        <v>123</v>
      </c>
      <c r="P13" s="15">
        <f>41*3</f>
        <v>123</v>
      </c>
      <c r="Q13" s="15"/>
      <c r="R13" s="15">
        <v>1</v>
      </c>
      <c r="S13" s="15"/>
      <c r="T13" s="13">
        <f t="shared" si="1"/>
        <v>1</v>
      </c>
      <c r="U13" s="15"/>
      <c r="V13" s="15"/>
      <c r="W13" s="32">
        <v>1394</v>
      </c>
      <c r="X13" s="32">
        <v>42</v>
      </c>
      <c r="Y13" s="32"/>
      <c r="Z13" s="32"/>
      <c r="AA13" s="32">
        <f t="shared" si="2"/>
        <v>111</v>
      </c>
      <c r="AB13" s="19"/>
      <c r="AC13" s="19">
        <v>235.0772</v>
      </c>
      <c r="AD13" s="15">
        <v>5.34</v>
      </c>
    </row>
    <row r="14" spans="1:30" ht="21.75" customHeight="1">
      <c r="A14" s="15">
        <v>8</v>
      </c>
      <c r="B14" s="15" t="s">
        <v>1083</v>
      </c>
      <c r="C14" s="15"/>
      <c r="D14" s="15" t="s">
        <v>150</v>
      </c>
      <c r="E14" s="15"/>
      <c r="F14" s="14">
        <v>3.284</v>
      </c>
      <c r="G14" s="15"/>
      <c r="H14" s="14">
        <v>3.284</v>
      </c>
      <c r="I14" s="32"/>
      <c r="J14" s="32"/>
      <c r="K14" s="32">
        <v>1450</v>
      </c>
      <c r="L14" s="32">
        <v>7</v>
      </c>
      <c r="M14" s="33">
        <v>1450</v>
      </c>
      <c r="N14" s="33">
        <v>7</v>
      </c>
      <c r="O14" s="15">
        <v>21</v>
      </c>
      <c r="P14" s="15">
        <v>21</v>
      </c>
      <c r="Q14" s="15"/>
      <c r="R14" s="15">
        <v>1</v>
      </c>
      <c r="S14" s="15"/>
      <c r="T14" s="13">
        <f t="shared" si="1"/>
        <v>1</v>
      </c>
      <c r="U14" s="15"/>
      <c r="V14" s="15"/>
      <c r="W14" s="32"/>
      <c r="X14" s="32">
        <v>7</v>
      </c>
      <c r="Y14" s="32">
        <v>7</v>
      </c>
      <c r="Z14" s="32"/>
      <c r="AA14" s="32">
        <f t="shared" si="2"/>
        <v>21</v>
      </c>
      <c r="AB14" s="19"/>
      <c r="AC14" s="19">
        <v>325.6529</v>
      </c>
      <c r="AD14" s="15">
        <v>3.95</v>
      </c>
    </row>
    <row r="15" spans="1:30" ht="21.75" customHeight="1">
      <c r="A15" s="13">
        <v>9</v>
      </c>
      <c r="B15" s="15" t="s">
        <v>1084</v>
      </c>
      <c r="C15" s="15"/>
      <c r="D15" s="15"/>
      <c r="E15" s="15" t="s">
        <v>150</v>
      </c>
      <c r="F15" s="15"/>
      <c r="G15" s="17">
        <v>2.01</v>
      </c>
      <c r="H15" s="14">
        <v>2.01</v>
      </c>
      <c r="I15" s="19">
        <v>0</v>
      </c>
      <c r="J15" s="19">
        <v>0</v>
      </c>
      <c r="K15" s="19">
        <v>0</v>
      </c>
      <c r="L15" s="19">
        <v>0</v>
      </c>
      <c r="M15" s="34">
        <v>0</v>
      </c>
      <c r="N15" s="35">
        <v>0</v>
      </c>
      <c r="O15" s="15">
        <v>0</v>
      </c>
      <c r="P15" s="15">
        <v>0</v>
      </c>
      <c r="Q15" s="15"/>
      <c r="R15" s="15"/>
      <c r="S15" s="15"/>
      <c r="T15" s="13">
        <v>0</v>
      </c>
      <c r="U15" s="15"/>
      <c r="V15" s="15"/>
      <c r="W15" s="19"/>
      <c r="X15" s="19"/>
      <c r="Y15" s="19"/>
      <c r="Z15" s="19"/>
      <c r="AA15" s="32">
        <v>0</v>
      </c>
      <c r="AB15" s="19"/>
      <c r="AC15" s="19">
        <v>0</v>
      </c>
      <c r="AD15" s="15">
        <v>0</v>
      </c>
    </row>
    <row r="16" spans="1:30" ht="21.75" customHeight="1">
      <c r="A16" s="15">
        <v>10</v>
      </c>
      <c r="B16" s="15" t="s">
        <v>1085</v>
      </c>
      <c r="C16" s="15" t="s">
        <v>150</v>
      </c>
      <c r="D16" s="15"/>
      <c r="E16" s="15"/>
      <c r="F16" s="14">
        <v>33.97</v>
      </c>
      <c r="G16" s="15"/>
      <c r="H16" s="14">
        <v>33.97</v>
      </c>
      <c r="I16" s="32">
        <v>4805</v>
      </c>
      <c r="J16" s="32">
        <v>22</v>
      </c>
      <c r="K16" s="32">
        <f aca="true" t="shared" si="4" ref="K16:K19">M16-I16</f>
        <v>1280</v>
      </c>
      <c r="L16" s="32">
        <v>6</v>
      </c>
      <c r="M16" s="33">
        <v>6085</v>
      </c>
      <c r="N16" s="36">
        <v>31</v>
      </c>
      <c r="O16" s="15">
        <f>34*3</f>
        <v>102</v>
      </c>
      <c r="P16" s="15">
        <f>34*3</f>
        <v>102</v>
      </c>
      <c r="Q16" s="15"/>
      <c r="R16" s="15">
        <v>2</v>
      </c>
      <c r="S16" s="15"/>
      <c r="T16" s="13">
        <f t="shared" si="1"/>
        <v>2</v>
      </c>
      <c r="U16" s="15"/>
      <c r="V16" s="15"/>
      <c r="W16" s="32">
        <v>2499</v>
      </c>
      <c r="X16" s="32">
        <v>35</v>
      </c>
      <c r="Y16" s="32">
        <v>11</v>
      </c>
      <c r="Z16" s="32">
        <v>1</v>
      </c>
      <c r="AA16" s="32">
        <f t="shared" si="2"/>
        <v>93</v>
      </c>
      <c r="AB16" s="19"/>
      <c r="AC16" s="19">
        <v>913.2821</v>
      </c>
      <c r="AD16" s="15">
        <v>3.51</v>
      </c>
    </row>
    <row r="17" spans="1:30" ht="21.75" customHeight="1">
      <c r="A17" s="13">
        <v>11</v>
      </c>
      <c r="B17" s="15" t="s">
        <v>1086</v>
      </c>
      <c r="C17" s="15"/>
      <c r="D17" s="15" t="s">
        <v>150</v>
      </c>
      <c r="F17" s="18">
        <v>12.3</v>
      </c>
      <c r="G17" s="19"/>
      <c r="H17" s="18">
        <v>12.3</v>
      </c>
      <c r="I17" s="19">
        <v>1090</v>
      </c>
      <c r="J17" s="19">
        <v>22</v>
      </c>
      <c r="K17" s="32">
        <f t="shared" si="4"/>
        <v>650</v>
      </c>
      <c r="L17" s="19">
        <v>5</v>
      </c>
      <c r="M17" s="33">
        <v>1740</v>
      </c>
      <c r="N17" s="36">
        <v>27</v>
      </c>
      <c r="O17" s="15">
        <v>90</v>
      </c>
      <c r="P17" s="15">
        <v>90</v>
      </c>
      <c r="Q17" s="15"/>
      <c r="R17" s="15">
        <v>1</v>
      </c>
      <c r="S17" s="15"/>
      <c r="T17" s="13">
        <f t="shared" si="1"/>
        <v>1</v>
      </c>
      <c r="U17" s="15"/>
      <c r="V17" s="15"/>
      <c r="W17" s="19">
        <v>814</v>
      </c>
      <c r="X17" s="19">
        <v>34</v>
      </c>
      <c r="Y17" s="19"/>
      <c r="Z17" s="19"/>
      <c r="AA17" s="32">
        <f t="shared" si="2"/>
        <v>81</v>
      </c>
      <c r="AB17" s="19"/>
      <c r="AC17" s="19">
        <v>132.3227</v>
      </c>
      <c r="AD17" s="15">
        <v>1.33</v>
      </c>
    </row>
    <row r="18" spans="1:30" ht="21.75" customHeight="1">
      <c r="A18" s="15">
        <v>12</v>
      </c>
      <c r="B18" s="15" t="s">
        <v>1087</v>
      </c>
      <c r="C18" s="15"/>
      <c r="D18" s="15" t="s">
        <v>150</v>
      </c>
      <c r="F18" s="20">
        <v>92.23</v>
      </c>
      <c r="G18" s="19"/>
      <c r="H18" s="20">
        <v>92.23</v>
      </c>
      <c r="I18" s="32">
        <v>2650</v>
      </c>
      <c r="J18" s="32">
        <v>36</v>
      </c>
      <c r="K18" s="32">
        <f t="shared" si="4"/>
        <v>1280</v>
      </c>
      <c r="L18" s="32">
        <v>8</v>
      </c>
      <c r="M18" s="33">
        <v>3930</v>
      </c>
      <c r="N18" s="36">
        <v>44</v>
      </c>
      <c r="O18" s="15">
        <v>138</v>
      </c>
      <c r="P18" s="15">
        <v>138</v>
      </c>
      <c r="Q18" s="15"/>
      <c r="R18" s="15">
        <v>1</v>
      </c>
      <c r="S18" s="15">
        <v>1</v>
      </c>
      <c r="T18" s="13">
        <f t="shared" si="1"/>
        <v>2</v>
      </c>
      <c r="U18" s="15"/>
      <c r="V18" s="15"/>
      <c r="W18" s="32">
        <v>1169</v>
      </c>
      <c r="X18" s="32">
        <v>49</v>
      </c>
      <c r="Y18" s="32">
        <v>10</v>
      </c>
      <c r="Z18" s="32">
        <v>1</v>
      </c>
      <c r="AA18" s="32">
        <f t="shared" si="2"/>
        <v>132</v>
      </c>
      <c r="AB18" s="19"/>
      <c r="AC18" s="19">
        <f>188.6498+221.0644</f>
        <v>409.7142</v>
      </c>
      <c r="AD18" s="15">
        <v>7.48</v>
      </c>
    </row>
    <row r="19" spans="1:30" ht="21.75" customHeight="1">
      <c r="A19" s="13">
        <v>13</v>
      </c>
      <c r="B19" s="15" t="s">
        <v>1088</v>
      </c>
      <c r="C19" s="15"/>
      <c r="D19" s="15" t="s">
        <v>150</v>
      </c>
      <c r="F19" s="16">
        <v>157.78</v>
      </c>
      <c r="G19" s="19"/>
      <c r="H19" s="16">
        <v>157.78</v>
      </c>
      <c r="I19" s="32">
        <v>3865</v>
      </c>
      <c r="J19" s="32">
        <v>102</v>
      </c>
      <c r="K19" s="32">
        <f t="shared" si="4"/>
        <v>2060</v>
      </c>
      <c r="L19" s="32">
        <v>25</v>
      </c>
      <c r="M19" s="33">
        <v>5925</v>
      </c>
      <c r="N19" s="36">
        <v>127</v>
      </c>
      <c r="O19" s="15">
        <f>147*3</f>
        <v>441</v>
      </c>
      <c r="P19" s="15">
        <f>147*3</f>
        <v>441</v>
      </c>
      <c r="Q19" s="15"/>
      <c r="R19" s="15">
        <v>2</v>
      </c>
      <c r="S19" s="15">
        <v>2</v>
      </c>
      <c r="T19" s="13">
        <f t="shared" si="1"/>
        <v>4</v>
      </c>
      <c r="U19" s="15">
        <v>200</v>
      </c>
      <c r="V19" s="15">
        <v>1</v>
      </c>
      <c r="W19" s="32">
        <v>6481</v>
      </c>
      <c r="X19" s="32">
        <v>138</v>
      </c>
      <c r="Y19" s="32">
        <v>7</v>
      </c>
      <c r="Z19" s="32">
        <v>2</v>
      </c>
      <c r="AA19" s="32">
        <f t="shared" si="2"/>
        <v>381</v>
      </c>
      <c r="AB19" s="19"/>
      <c r="AC19" s="32">
        <f>608.0355+273.7993</f>
        <v>881.8348</v>
      </c>
      <c r="AD19" s="15">
        <v>11.78</v>
      </c>
    </row>
    <row r="20" spans="1:30" ht="21.75" customHeight="1">
      <c r="A20" s="15">
        <v>14</v>
      </c>
      <c r="B20" s="15" t="s">
        <v>1089</v>
      </c>
      <c r="C20" s="15"/>
      <c r="D20" s="15" t="s">
        <v>150</v>
      </c>
      <c r="F20" s="16">
        <v>54.316</v>
      </c>
      <c r="G20" s="19"/>
      <c r="H20" s="16">
        <v>54.316</v>
      </c>
      <c r="I20" s="32">
        <v>490</v>
      </c>
      <c r="J20" s="32">
        <v>16</v>
      </c>
      <c r="K20" s="32">
        <v>200</v>
      </c>
      <c r="L20" s="32">
        <v>4</v>
      </c>
      <c r="M20" s="33">
        <v>690</v>
      </c>
      <c r="N20" s="36">
        <v>20</v>
      </c>
      <c r="O20" s="15">
        <v>72</v>
      </c>
      <c r="P20" s="15">
        <v>72</v>
      </c>
      <c r="Q20" s="15"/>
      <c r="R20" s="15">
        <v>4</v>
      </c>
      <c r="S20" s="15"/>
      <c r="T20" s="13">
        <f t="shared" si="1"/>
        <v>4</v>
      </c>
      <c r="U20" s="15"/>
      <c r="V20" s="15"/>
      <c r="W20" s="32">
        <v>544</v>
      </c>
      <c r="X20" s="32">
        <v>24</v>
      </c>
      <c r="Y20" s="32">
        <v>1</v>
      </c>
      <c r="Z20" s="32"/>
      <c r="AA20" s="32">
        <f t="shared" si="2"/>
        <v>60</v>
      </c>
      <c r="AB20" s="19"/>
      <c r="AC20" s="19">
        <v>77.4927</v>
      </c>
      <c r="AD20" s="15">
        <v>9.63</v>
      </c>
    </row>
    <row r="21" spans="1:30" ht="21.75" customHeight="1">
      <c r="A21" s="13">
        <v>15</v>
      </c>
      <c r="B21" s="15" t="s">
        <v>1090</v>
      </c>
      <c r="C21" s="15"/>
      <c r="D21" s="15" t="s">
        <v>150</v>
      </c>
      <c r="F21" s="16">
        <v>45.65</v>
      </c>
      <c r="G21" s="19"/>
      <c r="H21" s="16">
        <v>45.65</v>
      </c>
      <c r="I21" s="32">
        <v>2200</v>
      </c>
      <c r="J21" s="32">
        <v>41</v>
      </c>
      <c r="K21" s="32">
        <f>M21-I21</f>
        <v>750</v>
      </c>
      <c r="L21" s="32">
        <v>6</v>
      </c>
      <c r="M21" s="33">
        <v>2950</v>
      </c>
      <c r="N21" s="36">
        <v>47</v>
      </c>
      <c r="O21" s="15">
        <f>57*3</f>
        <v>171</v>
      </c>
      <c r="P21" s="15">
        <f>57*3</f>
        <v>171</v>
      </c>
      <c r="Q21" s="15"/>
      <c r="R21" s="15">
        <v>1</v>
      </c>
      <c r="S21" s="15">
        <v>1</v>
      </c>
      <c r="T21" s="13">
        <f t="shared" si="1"/>
        <v>2</v>
      </c>
      <c r="U21" s="15"/>
      <c r="V21" s="15"/>
      <c r="W21" s="32">
        <v>1494</v>
      </c>
      <c r="X21" s="32">
        <v>51</v>
      </c>
      <c r="Y21" s="32"/>
      <c r="Z21" s="32">
        <v>1</v>
      </c>
      <c r="AA21" s="32">
        <f t="shared" si="2"/>
        <v>141</v>
      </c>
      <c r="AB21" s="19"/>
      <c r="AC21" s="19">
        <v>265.2567</v>
      </c>
      <c r="AD21" s="15">
        <v>7.5</v>
      </c>
    </row>
    <row r="22" spans="1:30" ht="21.75" customHeight="1">
      <c r="A22" s="15">
        <v>16</v>
      </c>
      <c r="B22" s="15" t="s">
        <v>1091</v>
      </c>
      <c r="C22" s="15"/>
      <c r="D22" s="15" t="s">
        <v>150</v>
      </c>
      <c r="F22" s="16">
        <v>42.43</v>
      </c>
      <c r="G22" s="19"/>
      <c r="H22" s="16">
        <v>42.43</v>
      </c>
      <c r="I22" s="32">
        <f>920-140</f>
        <v>780</v>
      </c>
      <c r="J22" s="32">
        <v>8</v>
      </c>
      <c r="K22" s="32">
        <v>140</v>
      </c>
      <c r="L22" s="32">
        <v>2</v>
      </c>
      <c r="M22" s="33">
        <v>920</v>
      </c>
      <c r="N22" s="36">
        <v>10</v>
      </c>
      <c r="O22" s="15">
        <v>30</v>
      </c>
      <c r="P22" s="15">
        <v>30</v>
      </c>
      <c r="Q22" s="15"/>
      <c r="R22" s="15">
        <v>1</v>
      </c>
      <c r="S22" s="15"/>
      <c r="T22" s="13">
        <f t="shared" si="1"/>
        <v>1</v>
      </c>
      <c r="U22" s="15"/>
      <c r="V22" s="15"/>
      <c r="W22" s="32">
        <v>499</v>
      </c>
      <c r="X22" s="32">
        <v>12</v>
      </c>
      <c r="Y22" s="32">
        <v>1</v>
      </c>
      <c r="Z22" s="32"/>
      <c r="AA22" s="32">
        <f t="shared" si="2"/>
        <v>30</v>
      </c>
      <c r="AB22" s="19"/>
      <c r="AC22" s="19">
        <v>164.9087</v>
      </c>
      <c r="AD22" s="15">
        <v>6.78</v>
      </c>
    </row>
    <row r="23" spans="1:30" ht="21.75" customHeight="1">
      <c r="A23" s="13">
        <v>17</v>
      </c>
      <c r="B23" s="15" t="s">
        <v>1092</v>
      </c>
      <c r="C23" s="15"/>
      <c r="D23" s="15" t="s">
        <v>150</v>
      </c>
      <c r="F23" s="16">
        <v>54.5</v>
      </c>
      <c r="G23" s="19"/>
      <c r="H23" s="16">
        <v>54.5</v>
      </c>
      <c r="I23" s="37">
        <v>1450</v>
      </c>
      <c r="J23" s="37">
        <v>42</v>
      </c>
      <c r="K23" s="37">
        <f>M23-I23</f>
        <v>980</v>
      </c>
      <c r="L23" s="37">
        <v>12</v>
      </c>
      <c r="M23" s="33">
        <v>2430</v>
      </c>
      <c r="N23" s="36">
        <v>54</v>
      </c>
      <c r="O23" s="15">
        <f>63*3</f>
        <v>189</v>
      </c>
      <c r="P23" s="15">
        <f>63*3</f>
        <v>189</v>
      </c>
      <c r="Q23" s="15"/>
      <c r="R23" s="15"/>
      <c r="S23" s="15">
        <v>1</v>
      </c>
      <c r="T23" s="13">
        <f t="shared" si="1"/>
        <v>1</v>
      </c>
      <c r="U23" s="15"/>
      <c r="V23" s="15"/>
      <c r="W23" s="37">
        <v>1358</v>
      </c>
      <c r="X23" s="37">
        <v>58</v>
      </c>
      <c r="Y23" s="37">
        <v>3</v>
      </c>
      <c r="Z23" s="37"/>
      <c r="AA23" s="32">
        <f t="shared" si="2"/>
        <v>162</v>
      </c>
      <c r="AB23" s="19"/>
      <c r="AC23" s="19">
        <v>250.5305</v>
      </c>
      <c r="AD23" s="15">
        <v>8.6</v>
      </c>
    </row>
    <row r="24" spans="1:30" ht="21.75" customHeight="1">
      <c r="A24" s="15">
        <v>18</v>
      </c>
      <c r="B24" s="15" t="s">
        <v>1093</v>
      </c>
      <c r="C24" s="15"/>
      <c r="D24" s="15" t="s">
        <v>150</v>
      </c>
      <c r="F24" s="16">
        <v>47.8</v>
      </c>
      <c r="G24" s="19"/>
      <c r="H24" s="16">
        <v>47.8</v>
      </c>
      <c r="I24" s="37">
        <f>M24-K24</f>
        <v>1150</v>
      </c>
      <c r="J24" s="37">
        <v>28</v>
      </c>
      <c r="K24" s="37">
        <v>935</v>
      </c>
      <c r="L24" s="37">
        <v>6</v>
      </c>
      <c r="M24" s="33">
        <v>2085</v>
      </c>
      <c r="N24" s="36">
        <v>33</v>
      </c>
      <c r="O24" s="15">
        <f>35*3</f>
        <v>105</v>
      </c>
      <c r="P24" s="15">
        <f>35*3</f>
        <v>105</v>
      </c>
      <c r="Q24" s="15"/>
      <c r="R24" s="15">
        <v>1</v>
      </c>
      <c r="S24" s="15"/>
      <c r="T24" s="13">
        <f t="shared" si="1"/>
        <v>1</v>
      </c>
      <c r="U24" s="15"/>
      <c r="V24" s="15"/>
      <c r="W24" s="37">
        <v>896</v>
      </c>
      <c r="X24" s="37">
        <v>38</v>
      </c>
      <c r="Y24" s="37">
        <v>4</v>
      </c>
      <c r="Z24" s="37"/>
      <c r="AA24" s="32">
        <f t="shared" si="2"/>
        <v>99</v>
      </c>
      <c r="AB24" s="19"/>
      <c r="AC24" s="37">
        <v>230.9587</v>
      </c>
      <c r="AD24" s="15">
        <v>5.24</v>
      </c>
    </row>
    <row r="25" spans="1:30" ht="21.75" customHeight="1">
      <c r="A25" s="13">
        <v>19</v>
      </c>
      <c r="B25" s="15" t="s">
        <v>1094</v>
      </c>
      <c r="C25" s="15"/>
      <c r="D25" s="15"/>
      <c r="E25" s="15" t="s">
        <v>150</v>
      </c>
      <c r="F25" s="19"/>
      <c r="G25" s="16">
        <v>1.91</v>
      </c>
      <c r="H25" s="16">
        <v>1.91</v>
      </c>
      <c r="I25" s="19">
        <v>0</v>
      </c>
      <c r="J25" s="19">
        <v>0</v>
      </c>
      <c r="K25" s="19">
        <v>0</v>
      </c>
      <c r="L25" s="19">
        <v>0</v>
      </c>
      <c r="M25" s="15">
        <v>0</v>
      </c>
      <c r="N25" s="8">
        <v>0</v>
      </c>
      <c r="O25" s="15">
        <v>0</v>
      </c>
      <c r="P25" s="15">
        <v>0</v>
      </c>
      <c r="Q25" s="15"/>
      <c r="R25" s="15"/>
      <c r="S25" s="15"/>
      <c r="T25" s="13">
        <f t="shared" si="1"/>
        <v>0</v>
      </c>
      <c r="U25" s="15"/>
      <c r="V25" s="15"/>
      <c r="W25" s="37"/>
      <c r="X25" s="37"/>
      <c r="Y25" s="37"/>
      <c r="Z25" s="37"/>
      <c r="AA25" s="32">
        <f t="shared" si="2"/>
        <v>0</v>
      </c>
      <c r="AB25" s="19"/>
      <c r="AC25" s="37">
        <v>0</v>
      </c>
      <c r="AD25" s="15">
        <v>0</v>
      </c>
    </row>
    <row r="26" spans="1:30" ht="21.75" customHeight="1">
      <c r="A26" s="15">
        <v>20</v>
      </c>
      <c r="B26" s="15" t="s">
        <v>1095</v>
      </c>
      <c r="C26" s="15"/>
      <c r="D26" s="15"/>
      <c r="E26" s="15" t="s">
        <v>150</v>
      </c>
      <c r="F26" s="19"/>
      <c r="G26" s="16">
        <v>5.47</v>
      </c>
      <c r="H26" s="16">
        <v>5.47</v>
      </c>
      <c r="I26" s="19">
        <v>0</v>
      </c>
      <c r="J26" s="19">
        <v>0</v>
      </c>
      <c r="K26" s="19">
        <v>0</v>
      </c>
      <c r="L26" s="19">
        <v>0</v>
      </c>
      <c r="M26" s="15">
        <v>0</v>
      </c>
      <c r="N26" s="15">
        <v>0</v>
      </c>
      <c r="O26" s="15">
        <v>6</v>
      </c>
      <c r="P26" s="15">
        <v>6</v>
      </c>
      <c r="Q26" s="15"/>
      <c r="R26" s="15"/>
      <c r="S26" s="15"/>
      <c r="T26" s="13">
        <f t="shared" si="1"/>
        <v>0</v>
      </c>
      <c r="U26" s="15"/>
      <c r="V26" s="15"/>
      <c r="W26" s="19"/>
      <c r="X26" s="19"/>
      <c r="Y26" s="19"/>
      <c r="Z26" s="19"/>
      <c r="AA26" s="32">
        <f t="shared" si="2"/>
        <v>0</v>
      </c>
      <c r="AB26" s="19"/>
      <c r="AC26" s="37">
        <v>0</v>
      </c>
      <c r="AD26" s="15">
        <v>0</v>
      </c>
    </row>
    <row r="27" spans="1:30" ht="21.75" customHeight="1">
      <c r="A27" s="13">
        <v>21</v>
      </c>
      <c r="B27" s="15" t="s">
        <v>1096</v>
      </c>
      <c r="C27" s="15"/>
      <c r="D27" s="15"/>
      <c r="E27" s="15" t="s">
        <v>150</v>
      </c>
      <c r="F27" s="19"/>
      <c r="G27" s="16">
        <v>8.2</v>
      </c>
      <c r="H27" s="16">
        <v>8.2</v>
      </c>
      <c r="I27" s="19">
        <v>0</v>
      </c>
      <c r="J27" s="19">
        <v>0</v>
      </c>
      <c r="K27" s="19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/>
      <c r="R27" s="15"/>
      <c r="S27" s="15"/>
      <c r="T27" s="13">
        <f t="shared" si="1"/>
        <v>0</v>
      </c>
      <c r="U27" s="15"/>
      <c r="V27" s="15"/>
      <c r="W27" s="19"/>
      <c r="X27" s="19"/>
      <c r="Y27" s="19"/>
      <c r="Z27" s="19"/>
      <c r="AA27" s="32">
        <f t="shared" si="2"/>
        <v>0</v>
      </c>
      <c r="AB27" s="19"/>
      <c r="AC27" s="37">
        <v>0</v>
      </c>
      <c r="AD27" s="15">
        <v>0</v>
      </c>
    </row>
    <row r="28" spans="1:30" ht="21.75" customHeight="1">
      <c r="A28" s="15">
        <v>22</v>
      </c>
      <c r="B28" s="15" t="s">
        <v>1097</v>
      </c>
      <c r="C28" s="15"/>
      <c r="D28" s="15"/>
      <c r="E28" s="15" t="s">
        <v>150</v>
      </c>
      <c r="F28" s="19"/>
      <c r="G28" s="16">
        <v>4.2</v>
      </c>
      <c r="H28" s="16">
        <v>4.2</v>
      </c>
      <c r="I28" s="19">
        <v>0</v>
      </c>
      <c r="J28" s="19">
        <v>0</v>
      </c>
      <c r="K28" s="19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/>
      <c r="R28" s="15"/>
      <c r="S28" s="15"/>
      <c r="T28" s="13">
        <f t="shared" si="1"/>
        <v>0</v>
      </c>
      <c r="U28" s="15"/>
      <c r="V28" s="15"/>
      <c r="W28" s="19"/>
      <c r="X28" s="19"/>
      <c r="Y28" s="19"/>
      <c r="Z28" s="19"/>
      <c r="AA28" s="32">
        <f t="shared" si="2"/>
        <v>0</v>
      </c>
      <c r="AB28" s="19"/>
      <c r="AC28" s="37">
        <v>0</v>
      </c>
      <c r="AD28" s="15">
        <v>0</v>
      </c>
    </row>
    <row r="29" spans="1:30" ht="21.75" customHeight="1">
      <c r="A29" s="13">
        <v>23</v>
      </c>
      <c r="B29" s="15" t="s">
        <v>1098</v>
      </c>
      <c r="C29" s="15"/>
      <c r="D29" s="15" t="s">
        <v>150</v>
      </c>
      <c r="F29" s="16">
        <v>73.94</v>
      </c>
      <c r="G29" s="18"/>
      <c r="H29" s="16">
        <v>73.94</v>
      </c>
      <c r="I29" s="37">
        <f>M29-K29</f>
        <v>1715</v>
      </c>
      <c r="J29" s="37">
        <v>37</v>
      </c>
      <c r="K29" s="37">
        <v>1075</v>
      </c>
      <c r="L29" s="37">
        <v>8</v>
      </c>
      <c r="M29" s="33">
        <v>2790</v>
      </c>
      <c r="N29" s="33">
        <v>45</v>
      </c>
      <c r="O29" s="15"/>
      <c r="P29" s="15"/>
      <c r="Q29" s="15"/>
      <c r="R29" s="15">
        <v>3</v>
      </c>
      <c r="S29" s="15"/>
      <c r="T29" s="13">
        <f t="shared" si="1"/>
        <v>3</v>
      </c>
      <c r="U29" s="15"/>
      <c r="V29" s="15"/>
      <c r="W29" s="37">
        <v>2215</v>
      </c>
      <c r="X29" s="37">
        <v>48</v>
      </c>
      <c r="Y29" s="37">
        <v>4</v>
      </c>
      <c r="Z29" s="37"/>
      <c r="AA29" s="32">
        <f t="shared" si="2"/>
        <v>135</v>
      </c>
      <c r="AB29" s="19"/>
      <c r="AC29" s="19">
        <v>306.1903</v>
      </c>
      <c r="AD29" s="15">
        <v>4.21</v>
      </c>
    </row>
    <row r="30" spans="1:30" ht="21.75" customHeight="1">
      <c r="A30" s="15">
        <v>24</v>
      </c>
      <c r="B30" s="15" t="s">
        <v>1099</v>
      </c>
      <c r="C30" s="15"/>
      <c r="D30" s="15" t="s">
        <v>150</v>
      </c>
      <c r="F30" s="16">
        <v>80.9</v>
      </c>
      <c r="G30" s="18"/>
      <c r="H30" s="16">
        <v>80.9</v>
      </c>
      <c r="I30" s="32">
        <v>1410</v>
      </c>
      <c r="J30" s="32">
        <v>44</v>
      </c>
      <c r="K30" s="32">
        <f>M30-I30</f>
        <v>930</v>
      </c>
      <c r="L30" s="32">
        <v>11</v>
      </c>
      <c r="M30" s="33">
        <v>2340</v>
      </c>
      <c r="N30" s="33">
        <v>55</v>
      </c>
      <c r="O30" s="15">
        <f>74*3</f>
        <v>222</v>
      </c>
      <c r="P30" s="15">
        <f>74*3</f>
        <v>222</v>
      </c>
      <c r="Q30" s="15"/>
      <c r="R30" s="15">
        <v>2</v>
      </c>
      <c r="S30" s="15"/>
      <c r="T30" s="13">
        <f t="shared" si="1"/>
        <v>2</v>
      </c>
      <c r="U30" s="15">
        <v>200</v>
      </c>
      <c r="V30" s="15">
        <v>1</v>
      </c>
      <c r="W30" s="32">
        <v>1627</v>
      </c>
      <c r="X30" s="32">
        <v>56</v>
      </c>
      <c r="Y30" s="32">
        <v>10</v>
      </c>
      <c r="Z30" s="32"/>
      <c r="AA30" s="32">
        <f t="shared" si="2"/>
        <v>165</v>
      </c>
      <c r="AB30" s="19"/>
      <c r="AC30" s="19">
        <v>263.5457</v>
      </c>
      <c r="AD30" s="15">
        <v>8.42</v>
      </c>
    </row>
    <row r="31" spans="1:30" ht="21.75" customHeight="1">
      <c r="A31" s="13">
        <v>25</v>
      </c>
      <c r="B31" s="15" t="s">
        <v>1100</v>
      </c>
      <c r="C31" s="15"/>
      <c r="D31" s="15"/>
      <c r="E31" s="15" t="s">
        <v>150</v>
      </c>
      <c r="F31" s="19"/>
      <c r="G31" s="16">
        <v>20.94</v>
      </c>
      <c r="H31" s="16">
        <v>20.94</v>
      </c>
      <c r="I31" s="19"/>
      <c r="J31" s="19"/>
      <c r="K31" s="19"/>
      <c r="L31" s="19"/>
      <c r="M31" s="35"/>
      <c r="N31" s="21"/>
      <c r="O31" s="15"/>
      <c r="P31" s="15"/>
      <c r="Q31" s="15"/>
      <c r="R31" s="15">
        <v>1</v>
      </c>
      <c r="S31" s="15"/>
      <c r="T31" s="13">
        <f t="shared" si="1"/>
        <v>1</v>
      </c>
      <c r="U31" s="15"/>
      <c r="V31" s="15"/>
      <c r="W31" s="32"/>
      <c r="X31" s="32"/>
      <c r="Y31" s="32"/>
      <c r="Z31" s="32">
        <v>1</v>
      </c>
      <c r="AA31" s="32">
        <f t="shared" si="2"/>
        <v>0</v>
      </c>
      <c r="AB31" s="19"/>
      <c r="AC31" s="19">
        <v>0</v>
      </c>
      <c r="AD31" s="15">
        <v>0</v>
      </c>
    </row>
    <row r="32" spans="1:30" ht="21.75" customHeight="1">
      <c r="A32" s="15">
        <v>26</v>
      </c>
      <c r="B32" s="15" t="s">
        <v>1101</v>
      </c>
      <c r="C32" s="15"/>
      <c r="D32" s="15"/>
      <c r="E32" s="15" t="s">
        <v>150</v>
      </c>
      <c r="F32" s="19"/>
      <c r="G32" s="16">
        <v>0.5</v>
      </c>
      <c r="H32" s="16">
        <v>0.5</v>
      </c>
      <c r="I32" s="37"/>
      <c r="J32" s="37"/>
      <c r="K32" s="37">
        <v>30</v>
      </c>
      <c r="L32" s="37">
        <v>1</v>
      </c>
      <c r="M32" s="33">
        <v>30</v>
      </c>
      <c r="N32" s="33">
        <v>1</v>
      </c>
      <c r="O32" s="15">
        <v>3</v>
      </c>
      <c r="P32" s="15">
        <v>3</v>
      </c>
      <c r="Q32" s="15"/>
      <c r="R32" s="15"/>
      <c r="S32" s="15"/>
      <c r="T32" s="13">
        <f t="shared" si="1"/>
        <v>0</v>
      </c>
      <c r="U32" s="15"/>
      <c r="V32" s="15"/>
      <c r="W32" s="19"/>
      <c r="X32" s="19">
        <v>1</v>
      </c>
      <c r="Y32" s="19"/>
      <c r="Z32" s="19"/>
      <c r="AA32" s="32">
        <f t="shared" si="2"/>
        <v>3</v>
      </c>
      <c r="AB32" s="19"/>
      <c r="AC32" s="19">
        <v>0</v>
      </c>
      <c r="AD32" s="15">
        <v>0</v>
      </c>
    </row>
    <row r="33" spans="1:30" ht="21.75" customHeight="1">
      <c r="A33" s="13">
        <v>27</v>
      </c>
      <c r="B33" s="21" t="s">
        <v>1102</v>
      </c>
      <c r="C33" s="15"/>
      <c r="D33" s="15"/>
      <c r="E33" s="15" t="s">
        <v>150</v>
      </c>
      <c r="F33" s="19"/>
      <c r="G33" s="16">
        <v>1.2</v>
      </c>
      <c r="H33" s="16">
        <v>1.2</v>
      </c>
      <c r="I33" s="37"/>
      <c r="J33" s="37"/>
      <c r="K33" s="37"/>
      <c r="L33" s="37"/>
      <c r="M33" s="35"/>
      <c r="N33" s="21"/>
      <c r="O33" s="15"/>
      <c r="P33" s="15"/>
      <c r="Q33" s="15"/>
      <c r="R33" s="15"/>
      <c r="S33" s="15"/>
      <c r="T33" s="13">
        <f t="shared" si="1"/>
        <v>0</v>
      </c>
      <c r="U33" s="15"/>
      <c r="V33" s="15"/>
      <c r="W33" s="19"/>
      <c r="X33" s="19"/>
      <c r="Y33" s="19"/>
      <c r="Z33" s="19"/>
      <c r="AA33" s="32">
        <f t="shared" si="2"/>
        <v>0</v>
      </c>
      <c r="AB33" s="19"/>
      <c r="AC33" s="19">
        <v>369.4683</v>
      </c>
      <c r="AD33" s="42">
        <v>0</v>
      </c>
    </row>
    <row r="34" spans="1:30" ht="21.75" customHeight="1">
      <c r="A34" s="22" t="s">
        <v>209</v>
      </c>
      <c r="B34" s="7"/>
      <c r="C34" s="15">
        <v>5</v>
      </c>
      <c r="D34" s="15">
        <v>14</v>
      </c>
      <c r="E34" s="15">
        <v>8</v>
      </c>
      <c r="F34" s="18">
        <f aca="true" t="shared" si="5" ref="F34:P34">SUM(F7:F33)</f>
        <v>841.12</v>
      </c>
      <c r="G34" s="19">
        <f t="shared" si="5"/>
        <v>44.43000000000001</v>
      </c>
      <c r="H34" s="18">
        <f t="shared" si="5"/>
        <v>885.5500000000001</v>
      </c>
      <c r="I34" s="15">
        <f t="shared" si="5"/>
        <v>35500</v>
      </c>
      <c r="J34" s="15">
        <f t="shared" si="5"/>
        <v>516</v>
      </c>
      <c r="K34" s="15">
        <f t="shared" si="5"/>
        <v>20535</v>
      </c>
      <c r="L34" s="15">
        <f t="shared" si="5"/>
        <v>158</v>
      </c>
      <c r="M34" s="15">
        <f t="shared" si="5"/>
        <v>56035</v>
      </c>
      <c r="N34" s="15">
        <f t="shared" si="5"/>
        <v>671</v>
      </c>
      <c r="O34" s="15">
        <f t="shared" si="5"/>
        <v>2193</v>
      </c>
      <c r="P34" s="15">
        <f t="shared" si="5"/>
        <v>2193</v>
      </c>
      <c r="Q34" s="15"/>
      <c r="R34" s="15">
        <f aca="true" t="shared" si="6" ref="R34:T34">SUM(R7:R33)</f>
        <v>38</v>
      </c>
      <c r="S34" s="15">
        <f t="shared" si="6"/>
        <v>6</v>
      </c>
      <c r="T34" s="15">
        <f t="shared" si="6"/>
        <v>44</v>
      </c>
      <c r="U34" s="15">
        <f>SUM(U10:U33)</f>
        <v>500</v>
      </c>
      <c r="V34" s="15">
        <f>SUM(V10:V33)</f>
        <v>3</v>
      </c>
      <c r="W34" s="15">
        <f aca="true" t="shared" si="7" ref="W34:AA34">SUM(W7:W33)</f>
        <v>28173</v>
      </c>
      <c r="X34" s="15">
        <f t="shared" si="7"/>
        <v>775</v>
      </c>
      <c r="Y34" s="15">
        <f t="shared" si="7"/>
        <v>97</v>
      </c>
      <c r="Z34" s="15">
        <f t="shared" si="7"/>
        <v>6</v>
      </c>
      <c r="AA34" s="15">
        <f t="shared" si="7"/>
        <v>2013</v>
      </c>
      <c r="AB34" s="15">
        <v>0</v>
      </c>
      <c r="AC34" s="15">
        <f>SUM(AC7:AC33)</f>
        <v>8454.570899999999</v>
      </c>
      <c r="AD34" s="15">
        <v>5.28</v>
      </c>
    </row>
    <row r="35" spans="1:30" ht="21.75" customHeight="1">
      <c r="A35" s="23"/>
      <c r="B35" s="24" t="s">
        <v>210</v>
      </c>
      <c r="C35" s="25"/>
      <c r="D35" s="25"/>
      <c r="E35" s="25"/>
      <c r="F35" s="25"/>
      <c r="G35" s="25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3"/>
    </row>
    <row r="36" spans="1:30" ht="21.75" customHeight="1">
      <c r="A36" s="27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44"/>
    </row>
    <row r="37" spans="4:26" ht="21.75" customHeight="1">
      <c r="D37" s="2" t="s">
        <v>176</v>
      </c>
      <c r="O37" s="2" t="s">
        <v>177</v>
      </c>
      <c r="Z37" s="2" t="s">
        <v>1103</v>
      </c>
    </row>
    <row r="38" ht="21.75" customHeight="1"/>
    <row r="39" ht="21.75" customHeight="1"/>
    <row r="40" spans="4:5" ht="21.75" customHeight="1">
      <c r="D40" s="30"/>
      <c r="E40" s="30"/>
    </row>
    <row r="41" spans="4:5" ht="21.75" customHeight="1">
      <c r="D41" s="30"/>
      <c r="E41" s="30"/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21">
    <mergeCell ref="A1:AD1"/>
    <mergeCell ref="C3:E3"/>
    <mergeCell ref="F3:H3"/>
    <mergeCell ref="I3:N3"/>
    <mergeCell ref="Q3:T3"/>
    <mergeCell ref="U3:V3"/>
    <mergeCell ref="W3:Y3"/>
    <mergeCell ref="AA3:AB3"/>
    <mergeCell ref="A34:B34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6" width="12.625" style="0" customWidth="1"/>
    <col min="7" max="7" width="11.125" style="0" customWidth="1"/>
    <col min="8" max="8" width="12.625" style="0" customWidth="1"/>
  </cols>
  <sheetData>
    <row r="1" spans="1:8" s="923" customFormat="1" ht="42.75" customHeight="1">
      <c r="A1" s="924" t="s">
        <v>95</v>
      </c>
      <c r="B1" s="924"/>
      <c r="C1" s="924"/>
      <c r="D1" s="924"/>
      <c r="E1" s="924"/>
      <c r="F1" s="924"/>
      <c r="G1" s="924"/>
      <c r="H1" s="924"/>
    </row>
    <row r="2" spans="1:8" ht="15" customHeight="1">
      <c r="A2" s="925" t="s">
        <v>1</v>
      </c>
      <c r="B2" s="925" t="s">
        <v>2</v>
      </c>
      <c r="C2" s="926" t="s">
        <v>3</v>
      </c>
      <c r="D2" s="926" t="s">
        <v>4</v>
      </c>
      <c r="E2" s="927" t="s">
        <v>5</v>
      </c>
      <c r="F2" s="928" t="s">
        <v>6</v>
      </c>
      <c r="G2" s="928" t="s">
        <v>7</v>
      </c>
      <c r="H2" s="938" t="s">
        <v>8</v>
      </c>
    </row>
    <row r="3" spans="1:8" ht="15" customHeight="1">
      <c r="A3" s="925"/>
      <c r="B3" s="925"/>
      <c r="C3" s="926"/>
      <c r="D3" s="926"/>
      <c r="E3" s="927"/>
      <c r="F3" s="928"/>
      <c r="G3" s="928"/>
      <c r="H3" s="939"/>
    </row>
    <row r="4" spans="1:8" ht="15" customHeight="1">
      <c r="A4" s="931">
        <v>1</v>
      </c>
      <c r="B4" s="931" t="s">
        <v>9</v>
      </c>
      <c r="C4" s="932" t="s">
        <v>10</v>
      </c>
      <c r="D4" s="933" t="s">
        <v>11</v>
      </c>
      <c r="E4" s="934">
        <v>3035</v>
      </c>
      <c r="F4" s="935">
        <v>5923.8</v>
      </c>
      <c r="G4" s="934">
        <f aca="true" t="shared" si="0" ref="G4:G67">F4-E4</f>
        <v>2888.8</v>
      </c>
      <c r="H4" s="936">
        <f aca="true" t="shared" si="1" ref="H4:H67">E4/F4</f>
        <v>0.5123400519936527</v>
      </c>
    </row>
    <row r="5" spans="1:8" ht="15" customHeight="1">
      <c r="A5" s="931">
        <v>2</v>
      </c>
      <c r="B5" s="931" t="s">
        <v>9</v>
      </c>
      <c r="C5" s="932" t="s">
        <v>10</v>
      </c>
      <c r="D5" s="933" t="s">
        <v>12</v>
      </c>
      <c r="E5" s="934">
        <v>2200</v>
      </c>
      <c r="F5" s="935">
        <v>3504.915</v>
      </c>
      <c r="G5" s="934">
        <f t="shared" si="0"/>
        <v>1304.915</v>
      </c>
      <c r="H5" s="936">
        <f t="shared" si="1"/>
        <v>0.6276899725100323</v>
      </c>
    </row>
    <row r="6" spans="1:8" ht="15" customHeight="1">
      <c r="A6" s="931">
        <v>3</v>
      </c>
      <c r="B6" s="931" t="s">
        <v>9</v>
      </c>
      <c r="C6" s="932" t="s">
        <v>10</v>
      </c>
      <c r="D6" s="933" t="s">
        <v>13</v>
      </c>
      <c r="E6" s="934">
        <v>1265</v>
      </c>
      <c r="F6" s="935">
        <v>3504.915</v>
      </c>
      <c r="G6" s="934">
        <f t="shared" si="0"/>
        <v>2239.915</v>
      </c>
      <c r="H6" s="936">
        <f t="shared" si="1"/>
        <v>0.3609217341932686</v>
      </c>
    </row>
    <row r="7" spans="1:8" ht="15" customHeight="1">
      <c r="A7" s="931">
        <v>4</v>
      </c>
      <c r="B7" s="931" t="s">
        <v>9</v>
      </c>
      <c r="C7" s="932" t="s">
        <v>10</v>
      </c>
      <c r="D7" s="933" t="s">
        <v>14</v>
      </c>
      <c r="E7" s="934">
        <v>1556</v>
      </c>
      <c r="F7" s="935">
        <v>4344.12</v>
      </c>
      <c r="G7" s="934">
        <f t="shared" si="0"/>
        <v>2788.12</v>
      </c>
      <c r="H7" s="936">
        <f t="shared" si="1"/>
        <v>0.3581853171643509</v>
      </c>
    </row>
    <row r="8" spans="1:8" ht="15" customHeight="1">
      <c r="A8" s="931">
        <v>5</v>
      </c>
      <c r="B8" s="931" t="s">
        <v>9</v>
      </c>
      <c r="C8" s="932" t="s">
        <v>10</v>
      </c>
      <c r="D8" s="933" t="s">
        <v>15</v>
      </c>
      <c r="E8" s="934">
        <v>1975</v>
      </c>
      <c r="F8" s="935">
        <v>4344.12</v>
      </c>
      <c r="G8" s="934">
        <f t="shared" si="0"/>
        <v>2369.12</v>
      </c>
      <c r="H8" s="936">
        <f t="shared" si="1"/>
        <v>0.45463753303315746</v>
      </c>
    </row>
    <row r="9" spans="1:8" ht="15" customHeight="1">
      <c r="A9" s="931">
        <v>6</v>
      </c>
      <c r="B9" s="931" t="s">
        <v>9</v>
      </c>
      <c r="C9" s="932" t="s">
        <v>10</v>
      </c>
      <c r="D9" s="933" t="s">
        <v>16</v>
      </c>
      <c r="E9" s="934">
        <v>2356</v>
      </c>
      <c r="F9" s="935">
        <v>4344.12</v>
      </c>
      <c r="G9" s="934">
        <f t="shared" si="0"/>
        <v>1988.12</v>
      </c>
      <c r="H9" s="936">
        <f t="shared" si="1"/>
        <v>0.5423422925701868</v>
      </c>
    </row>
    <row r="10" spans="1:8" ht="15" customHeight="1">
      <c r="A10" s="931">
        <v>7</v>
      </c>
      <c r="B10" s="931" t="s">
        <v>9</v>
      </c>
      <c r="C10" s="932" t="s">
        <v>10</v>
      </c>
      <c r="D10" s="933" t="s">
        <v>17</v>
      </c>
      <c r="E10" s="934">
        <v>4025</v>
      </c>
      <c r="F10" s="935">
        <v>7048</v>
      </c>
      <c r="G10" s="934">
        <f t="shared" si="0"/>
        <v>3023</v>
      </c>
      <c r="H10" s="936">
        <f t="shared" si="1"/>
        <v>0.5710839954597049</v>
      </c>
    </row>
    <row r="11" spans="1:8" ht="15" customHeight="1">
      <c r="A11" s="931">
        <v>8</v>
      </c>
      <c r="B11" s="931" t="s">
        <v>9</v>
      </c>
      <c r="C11" s="932" t="s">
        <v>10</v>
      </c>
      <c r="D11" s="937" t="s">
        <v>18</v>
      </c>
      <c r="E11" s="934">
        <v>3696</v>
      </c>
      <c r="F11" s="935">
        <v>7048</v>
      </c>
      <c r="G11" s="934">
        <f t="shared" si="0"/>
        <v>3352</v>
      </c>
      <c r="H11" s="936">
        <f t="shared" si="1"/>
        <v>0.5244040862656073</v>
      </c>
    </row>
    <row r="12" spans="1:8" ht="15" customHeight="1">
      <c r="A12" s="931">
        <v>9</v>
      </c>
      <c r="B12" s="931" t="s">
        <v>9</v>
      </c>
      <c r="C12" s="932" t="s">
        <v>10</v>
      </c>
      <c r="D12" s="937" t="s">
        <v>19</v>
      </c>
      <c r="E12" s="934">
        <v>2156</v>
      </c>
      <c r="F12" s="935">
        <v>4344.12</v>
      </c>
      <c r="G12" s="934">
        <f t="shared" si="0"/>
        <v>2188.12</v>
      </c>
      <c r="H12" s="936">
        <f t="shared" si="1"/>
        <v>0.4963030487187279</v>
      </c>
    </row>
    <row r="13" spans="1:8" ht="15" customHeight="1">
      <c r="A13" s="931">
        <v>10</v>
      </c>
      <c r="B13" s="931" t="s">
        <v>9</v>
      </c>
      <c r="C13" s="932" t="s">
        <v>10</v>
      </c>
      <c r="D13" s="937" t="s">
        <v>20</v>
      </c>
      <c r="E13" s="934">
        <v>3806</v>
      </c>
      <c r="F13" s="935">
        <v>6006.075</v>
      </c>
      <c r="G13" s="934">
        <f t="shared" si="0"/>
        <v>2200.075</v>
      </c>
      <c r="H13" s="936">
        <f t="shared" si="1"/>
        <v>0.6336917204663611</v>
      </c>
    </row>
    <row r="14" spans="1:8" ht="15" customHeight="1">
      <c r="A14" s="931">
        <v>11</v>
      </c>
      <c r="B14" s="931" t="s">
        <v>9</v>
      </c>
      <c r="C14" s="932" t="s">
        <v>10</v>
      </c>
      <c r="D14" s="937" t="s">
        <v>90</v>
      </c>
      <c r="E14" s="934">
        <v>2471</v>
      </c>
      <c r="F14" s="935">
        <v>4344.12</v>
      </c>
      <c r="G14" s="934">
        <f t="shared" si="0"/>
        <v>1873.12</v>
      </c>
      <c r="H14" s="936">
        <f t="shared" si="1"/>
        <v>0.5688148577847758</v>
      </c>
    </row>
    <row r="15" spans="1:8" ht="15" customHeight="1">
      <c r="A15" s="931">
        <v>12</v>
      </c>
      <c r="B15" s="931" t="s">
        <v>9</v>
      </c>
      <c r="C15" s="932" t="s">
        <v>10</v>
      </c>
      <c r="D15" s="937" t="s">
        <v>91</v>
      </c>
      <c r="E15" s="934">
        <v>1347</v>
      </c>
      <c r="F15" s="935">
        <v>4344.12</v>
      </c>
      <c r="G15" s="934">
        <f t="shared" si="0"/>
        <v>2997.12</v>
      </c>
      <c r="H15" s="936">
        <f t="shared" si="1"/>
        <v>0.31007430733957625</v>
      </c>
    </row>
    <row r="16" spans="1:8" ht="15" customHeight="1">
      <c r="A16" s="931">
        <v>13</v>
      </c>
      <c r="B16" s="931" t="s">
        <v>9</v>
      </c>
      <c r="C16" s="932" t="s">
        <v>21</v>
      </c>
      <c r="D16" s="937" t="s">
        <v>22</v>
      </c>
      <c r="E16" s="934">
        <v>876</v>
      </c>
      <c r="F16" s="935">
        <v>3504.915</v>
      </c>
      <c r="G16" s="934">
        <f t="shared" si="0"/>
        <v>2628.915</v>
      </c>
      <c r="H16" s="936">
        <f t="shared" si="1"/>
        <v>0.24993473450854015</v>
      </c>
    </row>
    <row r="17" spans="1:8" ht="15" customHeight="1">
      <c r="A17" s="931">
        <v>14</v>
      </c>
      <c r="B17" s="931" t="s">
        <v>9</v>
      </c>
      <c r="C17" s="932" t="s">
        <v>21</v>
      </c>
      <c r="D17" s="937" t="s">
        <v>23</v>
      </c>
      <c r="E17" s="934">
        <v>536</v>
      </c>
      <c r="F17" s="935">
        <v>3504.915</v>
      </c>
      <c r="G17" s="934">
        <f t="shared" si="0"/>
        <v>2968.915</v>
      </c>
      <c r="H17" s="936">
        <f t="shared" si="1"/>
        <v>0.15292810239335333</v>
      </c>
    </row>
    <row r="18" spans="1:8" ht="15" customHeight="1">
      <c r="A18" s="931">
        <v>15</v>
      </c>
      <c r="B18" s="931" t="s">
        <v>9</v>
      </c>
      <c r="C18" s="932" t="s">
        <v>24</v>
      </c>
      <c r="D18" s="933" t="s">
        <v>25</v>
      </c>
      <c r="E18" s="934">
        <v>5368</v>
      </c>
      <c r="F18" s="935">
        <v>9691.995</v>
      </c>
      <c r="G18" s="934">
        <f t="shared" si="0"/>
        <v>4323.995000000001</v>
      </c>
      <c r="H18" s="936">
        <f t="shared" si="1"/>
        <v>0.5538591383920441</v>
      </c>
    </row>
    <row r="19" spans="1:8" ht="15" customHeight="1">
      <c r="A19" s="931">
        <v>16</v>
      </c>
      <c r="B19" s="931" t="s">
        <v>9</v>
      </c>
      <c r="C19" s="932" t="s">
        <v>24</v>
      </c>
      <c r="D19" s="933" t="s">
        <v>26</v>
      </c>
      <c r="E19" s="934">
        <v>56</v>
      </c>
      <c r="F19" s="935">
        <v>9691.995</v>
      </c>
      <c r="G19" s="934">
        <f t="shared" si="0"/>
        <v>9635.995</v>
      </c>
      <c r="H19" s="936">
        <f t="shared" si="1"/>
        <v>0.005777964185908061</v>
      </c>
    </row>
    <row r="20" spans="1:8" ht="15" customHeight="1">
      <c r="A20" s="931">
        <v>17</v>
      </c>
      <c r="B20" s="931" t="s">
        <v>9</v>
      </c>
      <c r="C20" s="932" t="s">
        <v>24</v>
      </c>
      <c r="D20" s="933" t="s">
        <v>27</v>
      </c>
      <c r="E20" s="934">
        <v>436</v>
      </c>
      <c r="F20" s="935">
        <v>9691.995</v>
      </c>
      <c r="G20" s="934">
        <f t="shared" si="0"/>
        <v>9255.995</v>
      </c>
      <c r="H20" s="936">
        <f t="shared" si="1"/>
        <v>0.0449855783045699</v>
      </c>
    </row>
    <row r="21" spans="1:8" ht="15" customHeight="1">
      <c r="A21" s="931">
        <v>18</v>
      </c>
      <c r="B21" s="931" t="s">
        <v>9</v>
      </c>
      <c r="C21" s="932" t="s">
        <v>24</v>
      </c>
      <c r="D21" s="933" t="s">
        <v>28</v>
      </c>
      <c r="E21" s="934">
        <v>56</v>
      </c>
      <c r="F21" s="935">
        <v>9691.995</v>
      </c>
      <c r="G21" s="934">
        <f t="shared" si="0"/>
        <v>9635.995</v>
      </c>
      <c r="H21" s="936">
        <f t="shared" si="1"/>
        <v>0.005777964185908061</v>
      </c>
    </row>
    <row r="22" spans="1:8" ht="15" customHeight="1">
      <c r="A22" s="931">
        <v>19</v>
      </c>
      <c r="B22" s="931" t="s">
        <v>9</v>
      </c>
      <c r="C22" s="932" t="s">
        <v>24</v>
      </c>
      <c r="D22" s="933" t="s">
        <v>29</v>
      </c>
      <c r="E22" s="934">
        <v>1056</v>
      </c>
      <c r="F22" s="935">
        <v>4344.12</v>
      </c>
      <c r="G22" s="934">
        <f t="shared" si="0"/>
        <v>3288.12</v>
      </c>
      <c r="H22" s="936">
        <f t="shared" si="1"/>
        <v>0.24308720753570345</v>
      </c>
    </row>
    <row r="23" spans="1:8" ht="15" customHeight="1">
      <c r="A23" s="931">
        <v>20</v>
      </c>
      <c r="B23" s="931" t="s">
        <v>9</v>
      </c>
      <c r="C23" s="932" t="s">
        <v>24</v>
      </c>
      <c r="D23" s="933" t="s">
        <v>30</v>
      </c>
      <c r="E23" s="934">
        <v>1152</v>
      </c>
      <c r="F23" s="935">
        <v>4344.12</v>
      </c>
      <c r="G23" s="934">
        <f t="shared" si="0"/>
        <v>3192.12</v>
      </c>
      <c r="H23" s="936">
        <f t="shared" si="1"/>
        <v>0.26518604458440376</v>
      </c>
    </row>
    <row r="24" spans="1:8" ht="15" customHeight="1">
      <c r="A24" s="931">
        <v>21</v>
      </c>
      <c r="B24" s="931" t="s">
        <v>9</v>
      </c>
      <c r="C24" s="932" t="s">
        <v>31</v>
      </c>
      <c r="D24" s="933" t="s">
        <v>32</v>
      </c>
      <c r="E24" s="934">
        <v>56</v>
      </c>
      <c r="F24" s="935">
        <v>4344.12</v>
      </c>
      <c r="G24" s="934">
        <f t="shared" si="0"/>
        <v>4288.12</v>
      </c>
      <c r="H24" s="936">
        <f t="shared" si="1"/>
        <v>0.012890988278408516</v>
      </c>
    </row>
    <row r="25" spans="1:8" ht="15" customHeight="1">
      <c r="A25" s="931">
        <v>22</v>
      </c>
      <c r="B25" s="931" t="s">
        <v>9</v>
      </c>
      <c r="C25" s="932" t="s">
        <v>31</v>
      </c>
      <c r="D25" s="933" t="s">
        <v>33</v>
      </c>
      <c r="E25" s="934">
        <v>56</v>
      </c>
      <c r="F25" s="935">
        <v>4344.12</v>
      </c>
      <c r="G25" s="934">
        <f t="shared" si="0"/>
        <v>4288.12</v>
      </c>
      <c r="H25" s="936">
        <f t="shared" si="1"/>
        <v>0.012890988278408516</v>
      </c>
    </row>
    <row r="26" spans="1:8" ht="15" customHeight="1">
      <c r="A26" s="931">
        <v>23</v>
      </c>
      <c r="B26" s="931" t="s">
        <v>9</v>
      </c>
      <c r="C26" s="932" t="s">
        <v>31</v>
      </c>
      <c r="D26" s="933" t="s">
        <v>34</v>
      </c>
      <c r="E26" s="934">
        <v>3656</v>
      </c>
      <c r="F26" s="935">
        <v>9691.995</v>
      </c>
      <c r="G26" s="934">
        <f t="shared" si="0"/>
        <v>6035.995000000001</v>
      </c>
      <c r="H26" s="936">
        <f t="shared" si="1"/>
        <v>0.3772185189942834</v>
      </c>
    </row>
    <row r="27" spans="1:8" ht="15" customHeight="1">
      <c r="A27" s="931">
        <v>24</v>
      </c>
      <c r="B27" s="931" t="s">
        <v>9</v>
      </c>
      <c r="C27" s="932" t="s">
        <v>31</v>
      </c>
      <c r="D27" s="933" t="s">
        <v>35</v>
      </c>
      <c r="E27" s="934">
        <v>786</v>
      </c>
      <c r="F27" s="935">
        <v>9691.995</v>
      </c>
      <c r="G27" s="934">
        <f t="shared" si="0"/>
        <v>8905.995</v>
      </c>
      <c r="H27" s="936">
        <f t="shared" si="1"/>
        <v>0.08109785446649528</v>
      </c>
    </row>
    <row r="28" spans="1:8" ht="15" customHeight="1">
      <c r="A28" s="931">
        <v>25</v>
      </c>
      <c r="B28" s="931" t="s">
        <v>9</v>
      </c>
      <c r="C28" s="932" t="s">
        <v>31</v>
      </c>
      <c r="D28" s="933" t="s">
        <v>36</v>
      </c>
      <c r="E28" s="934">
        <v>886</v>
      </c>
      <c r="F28" s="935">
        <v>4344.12</v>
      </c>
      <c r="G28" s="934">
        <f t="shared" si="0"/>
        <v>3458.12</v>
      </c>
      <c r="H28" s="936">
        <f t="shared" si="1"/>
        <v>0.2039538502619633</v>
      </c>
    </row>
    <row r="29" spans="1:8" ht="15" customHeight="1">
      <c r="A29" s="931">
        <v>26</v>
      </c>
      <c r="B29" s="931" t="s">
        <v>9</v>
      </c>
      <c r="C29" s="932" t="s">
        <v>37</v>
      </c>
      <c r="D29" s="937" t="s">
        <v>38</v>
      </c>
      <c r="E29" s="934">
        <v>2456</v>
      </c>
      <c r="F29" s="935">
        <v>4344.12</v>
      </c>
      <c r="G29" s="934">
        <f t="shared" si="0"/>
        <v>1888.12</v>
      </c>
      <c r="H29" s="936">
        <f t="shared" si="1"/>
        <v>0.5653619144959163</v>
      </c>
    </row>
    <row r="30" spans="1:8" ht="15" customHeight="1">
      <c r="A30" s="931">
        <v>27</v>
      </c>
      <c r="B30" s="931" t="s">
        <v>9</v>
      </c>
      <c r="C30" s="932" t="s">
        <v>37</v>
      </c>
      <c r="D30" s="937" t="s">
        <v>39</v>
      </c>
      <c r="E30" s="934">
        <v>985</v>
      </c>
      <c r="F30" s="935">
        <v>3504.915</v>
      </c>
      <c r="G30" s="934">
        <f t="shared" si="0"/>
        <v>2519.915</v>
      </c>
      <c r="H30" s="936">
        <f t="shared" si="1"/>
        <v>0.2810339195101736</v>
      </c>
    </row>
    <row r="31" spans="1:8" ht="15" customHeight="1">
      <c r="A31" s="931">
        <v>28</v>
      </c>
      <c r="B31" s="931" t="s">
        <v>9</v>
      </c>
      <c r="C31" s="932" t="s">
        <v>37</v>
      </c>
      <c r="D31" s="937" t="s">
        <v>40</v>
      </c>
      <c r="E31" s="934">
        <v>586</v>
      </c>
      <c r="F31" s="935">
        <v>5298.51</v>
      </c>
      <c r="G31" s="934">
        <f t="shared" si="0"/>
        <v>4712.51</v>
      </c>
      <c r="H31" s="936">
        <f t="shared" si="1"/>
        <v>0.11059713013658556</v>
      </c>
    </row>
    <row r="32" spans="1:8" ht="15" customHeight="1">
      <c r="A32" s="931">
        <v>29</v>
      </c>
      <c r="B32" s="931" t="s">
        <v>9</v>
      </c>
      <c r="C32" s="932" t="s">
        <v>37</v>
      </c>
      <c r="D32" s="937" t="s">
        <v>41</v>
      </c>
      <c r="E32" s="934">
        <v>486</v>
      </c>
      <c r="F32" s="935">
        <v>6006.075</v>
      </c>
      <c r="G32" s="934">
        <f t="shared" si="0"/>
        <v>5520.075</v>
      </c>
      <c r="H32" s="936">
        <f t="shared" si="1"/>
        <v>0.08091807045366567</v>
      </c>
    </row>
    <row r="33" spans="1:8" ht="15" customHeight="1">
      <c r="A33" s="931">
        <v>30</v>
      </c>
      <c r="B33" s="931" t="s">
        <v>9</v>
      </c>
      <c r="C33" s="932" t="s">
        <v>42</v>
      </c>
      <c r="D33" s="937" t="s">
        <v>43</v>
      </c>
      <c r="E33" s="934">
        <v>776</v>
      </c>
      <c r="F33" s="935">
        <v>4344.12</v>
      </c>
      <c r="G33" s="934">
        <f t="shared" si="0"/>
        <v>3568.12</v>
      </c>
      <c r="H33" s="936">
        <f t="shared" si="1"/>
        <v>0.17863226614366087</v>
      </c>
    </row>
    <row r="34" spans="1:8" ht="15" customHeight="1">
      <c r="A34" s="931">
        <v>31</v>
      </c>
      <c r="B34" s="931" t="s">
        <v>9</v>
      </c>
      <c r="C34" s="932" t="s">
        <v>42</v>
      </c>
      <c r="D34" s="937" t="s">
        <v>44</v>
      </c>
      <c r="E34" s="934">
        <v>1971</v>
      </c>
      <c r="F34" s="935">
        <v>3504.915</v>
      </c>
      <c r="G34" s="934">
        <f t="shared" si="0"/>
        <v>1533.915</v>
      </c>
      <c r="H34" s="936">
        <f t="shared" si="1"/>
        <v>0.5623531526442154</v>
      </c>
    </row>
    <row r="35" spans="1:8" ht="15" customHeight="1">
      <c r="A35" s="931">
        <v>32</v>
      </c>
      <c r="B35" s="931" t="s">
        <v>9</v>
      </c>
      <c r="C35" s="932" t="s">
        <v>42</v>
      </c>
      <c r="D35" s="937" t="s">
        <v>45</v>
      </c>
      <c r="E35" s="934">
        <v>3566</v>
      </c>
      <c r="F35" s="935">
        <v>6006.075</v>
      </c>
      <c r="G35" s="934">
        <f t="shared" si="0"/>
        <v>2440.075</v>
      </c>
      <c r="H35" s="936">
        <f t="shared" si="1"/>
        <v>0.593732179501588</v>
      </c>
    </row>
    <row r="36" spans="1:8" ht="15" customHeight="1">
      <c r="A36" s="931">
        <v>33</v>
      </c>
      <c r="B36" s="931" t="s">
        <v>9</v>
      </c>
      <c r="C36" s="932" t="s">
        <v>42</v>
      </c>
      <c r="D36" s="937" t="s">
        <v>46</v>
      </c>
      <c r="E36" s="934">
        <v>1656</v>
      </c>
      <c r="F36" s="935">
        <v>4344.12</v>
      </c>
      <c r="G36" s="934">
        <f t="shared" si="0"/>
        <v>2688.12</v>
      </c>
      <c r="H36" s="936">
        <f t="shared" si="1"/>
        <v>0.3812049390900804</v>
      </c>
    </row>
    <row r="37" spans="1:8" ht="15" customHeight="1">
      <c r="A37" s="931">
        <v>34</v>
      </c>
      <c r="B37" s="931" t="s">
        <v>9</v>
      </c>
      <c r="C37" s="932" t="s">
        <v>42</v>
      </c>
      <c r="D37" s="937" t="s">
        <v>47</v>
      </c>
      <c r="E37" s="934">
        <v>1956</v>
      </c>
      <c r="F37" s="935">
        <v>5298.51</v>
      </c>
      <c r="G37" s="934">
        <f t="shared" si="0"/>
        <v>3342.51</v>
      </c>
      <c r="H37" s="936">
        <f t="shared" si="1"/>
        <v>0.3691603865992515</v>
      </c>
    </row>
    <row r="38" spans="1:8" ht="15" customHeight="1">
      <c r="A38" s="931">
        <v>35</v>
      </c>
      <c r="B38" s="931" t="s">
        <v>9</v>
      </c>
      <c r="C38" s="932" t="s">
        <v>42</v>
      </c>
      <c r="D38" s="937" t="s">
        <v>48</v>
      </c>
      <c r="E38" s="934">
        <v>3056</v>
      </c>
      <c r="F38" s="935">
        <v>7042.74</v>
      </c>
      <c r="G38" s="934">
        <f t="shared" si="0"/>
        <v>3986.74</v>
      </c>
      <c r="H38" s="936">
        <f t="shared" si="1"/>
        <v>0.43392202466653607</v>
      </c>
    </row>
    <row r="39" spans="1:8" ht="15" customHeight="1">
      <c r="A39" s="931">
        <v>36</v>
      </c>
      <c r="B39" s="931" t="s">
        <v>9</v>
      </c>
      <c r="C39" s="932" t="s">
        <v>42</v>
      </c>
      <c r="D39" s="937" t="s">
        <v>49</v>
      </c>
      <c r="E39" s="934">
        <v>2556</v>
      </c>
      <c r="F39" s="935">
        <v>4344.12</v>
      </c>
      <c r="G39" s="934">
        <f t="shared" si="0"/>
        <v>1788.12</v>
      </c>
      <c r="H39" s="936">
        <f t="shared" si="1"/>
        <v>0.5883815364216458</v>
      </c>
    </row>
    <row r="40" spans="1:8" ht="15" customHeight="1">
      <c r="A40" s="931">
        <v>37</v>
      </c>
      <c r="B40" s="931" t="s">
        <v>9</v>
      </c>
      <c r="C40" s="932" t="s">
        <v>42</v>
      </c>
      <c r="D40" s="937" t="s">
        <v>50</v>
      </c>
      <c r="E40" s="934">
        <v>2956</v>
      </c>
      <c r="F40" s="935">
        <v>5298.51</v>
      </c>
      <c r="G40" s="934">
        <f t="shared" si="0"/>
        <v>2342.51</v>
      </c>
      <c r="H40" s="936">
        <f t="shared" si="1"/>
        <v>0.5578926905865988</v>
      </c>
    </row>
    <row r="41" spans="1:8" ht="15" customHeight="1">
      <c r="A41" s="931">
        <v>38</v>
      </c>
      <c r="B41" s="931" t="s">
        <v>9</v>
      </c>
      <c r="C41" s="932" t="s">
        <v>42</v>
      </c>
      <c r="D41" s="937" t="s">
        <v>51</v>
      </c>
      <c r="E41" s="934">
        <v>3070</v>
      </c>
      <c r="F41" s="935">
        <v>5298.51</v>
      </c>
      <c r="G41" s="934">
        <f t="shared" si="0"/>
        <v>2228.51</v>
      </c>
      <c r="H41" s="936">
        <f t="shared" si="1"/>
        <v>0.5794081732411565</v>
      </c>
    </row>
    <row r="42" spans="1:8" ht="15" customHeight="1">
      <c r="A42" s="931">
        <v>39</v>
      </c>
      <c r="B42" s="931" t="s">
        <v>9</v>
      </c>
      <c r="C42" s="932" t="s">
        <v>52</v>
      </c>
      <c r="D42" s="937" t="s">
        <v>53</v>
      </c>
      <c r="E42" s="934">
        <v>916</v>
      </c>
      <c r="F42" s="935">
        <v>3504.915</v>
      </c>
      <c r="G42" s="934">
        <f t="shared" si="0"/>
        <v>2588.915</v>
      </c>
      <c r="H42" s="936">
        <f t="shared" si="1"/>
        <v>0.261347279463268</v>
      </c>
    </row>
    <row r="43" spans="1:8" ht="15" customHeight="1">
      <c r="A43" s="931">
        <v>40</v>
      </c>
      <c r="B43" s="931" t="s">
        <v>9</v>
      </c>
      <c r="C43" s="932" t="s">
        <v>52</v>
      </c>
      <c r="D43" s="937" t="s">
        <v>54</v>
      </c>
      <c r="E43" s="934">
        <v>686</v>
      </c>
      <c r="F43" s="935">
        <v>3504.915</v>
      </c>
      <c r="G43" s="934">
        <f t="shared" si="0"/>
        <v>2818.915</v>
      </c>
      <c r="H43" s="936">
        <f t="shared" si="1"/>
        <v>0.19572514597358281</v>
      </c>
    </row>
    <row r="44" spans="1:8" ht="15" customHeight="1">
      <c r="A44" s="931">
        <v>41</v>
      </c>
      <c r="B44" s="931" t="s">
        <v>9</v>
      </c>
      <c r="C44" s="932" t="s">
        <v>52</v>
      </c>
      <c r="D44" s="937" t="s">
        <v>55</v>
      </c>
      <c r="E44" s="934">
        <v>1070</v>
      </c>
      <c r="F44" s="935">
        <v>4344.12</v>
      </c>
      <c r="G44" s="934">
        <f t="shared" si="0"/>
        <v>3274.12</v>
      </c>
      <c r="H44" s="936">
        <f t="shared" si="1"/>
        <v>0.24630995460530558</v>
      </c>
    </row>
    <row r="45" spans="1:8" ht="15" customHeight="1">
      <c r="A45" s="931">
        <v>42</v>
      </c>
      <c r="B45" s="931" t="s">
        <v>9</v>
      </c>
      <c r="C45" s="932" t="s">
        <v>56</v>
      </c>
      <c r="D45" s="937" t="s">
        <v>57</v>
      </c>
      <c r="E45" s="934">
        <v>1956</v>
      </c>
      <c r="F45" s="935">
        <v>3504.915</v>
      </c>
      <c r="G45" s="934">
        <f t="shared" si="0"/>
        <v>1548.915</v>
      </c>
      <c r="H45" s="936">
        <f t="shared" si="1"/>
        <v>0.5580734482861924</v>
      </c>
    </row>
    <row r="46" spans="1:8" ht="15" customHeight="1">
      <c r="A46" s="931">
        <v>43</v>
      </c>
      <c r="B46" s="931" t="s">
        <v>9</v>
      </c>
      <c r="C46" s="932" t="s">
        <v>56</v>
      </c>
      <c r="D46" s="937" t="s">
        <v>58</v>
      </c>
      <c r="E46" s="934">
        <v>776</v>
      </c>
      <c r="F46" s="935">
        <v>3504.915</v>
      </c>
      <c r="G46" s="934">
        <f t="shared" si="0"/>
        <v>2728.915</v>
      </c>
      <c r="H46" s="936">
        <f t="shared" si="1"/>
        <v>0.2214033721217205</v>
      </c>
    </row>
    <row r="47" spans="1:8" ht="15" customHeight="1">
      <c r="A47" s="931">
        <v>44</v>
      </c>
      <c r="B47" s="931" t="s">
        <v>9</v>
      </c>
      <c r="C47" s="932" t="s">
        <v>56</v>
      </c>
      <c r="D47" s="937" t="s">
        <v>59</v>
      </c>
      <c r="E47" s="934">
        <v>56</v>
      </c>
      <c r="F47" s="935">
        <v>7042.74</v>
      </c>
      <c r="G47" s="934">
        <f t="shared" si="0"/>
        <v>6986.74</v>
      </c>
      <c r="H47" s="936">
        <f t="shared" si="1"/>
        <v>0.007951450713784692</v>
      </c>
    </row>
    <row r="48" spans="1:8" ht="15" customHeight="1">
      <c r="A48" s="931">
        <v>45</v>
      </c>
      <c r="B48" s="931" t="s">
        <v>9</v>
      </c>
      <c r="C48" s="932" t="s">
        <v>56</v>
      </c>
      <c r="D48" s="937" t="s">
        <v>92</v>
      </c>
      <c r="E48" s="934">
        <v>5678</v>
      </c>
      <c r="F48" s="935">
        <v>7042.74</v>
      </c>
      <c r="G48" s="934">
        <f t="shared" si="0"/>
        <v>1364.7399999999998</v>
      </c>
      <c r="H48" s="936">
        <f t="shared" si="1"/>
        <v>0.8062203063012408</v>
      </c>
    </row>
    <row r="49" spans="1:8" ht="15" customHeight="1">
      <c r="A49" s="931">
        <v>46</v>
      </c>
      <c r="B49" s="931" t="s">
        <v>9</v>
      </c>
      <c r="C49" s="932" t="s">
        <v>56</v>
      </c>
      <c r="D49" s="937" t="s">
        <v>60</v>
      </c>
      <c r="E49" s="934">
        <v>736</v>
      </c>
      <c r="F49" s="935">
        <v>3504.915</v>
      </c>
      <c r="G49" s="934">
        <f t="shared" si="0"/>
        <v>2768.915</v>
      </c>
      <c r="H49" s="936">
        <f t="shared" si="1"/>
        <v>0.20999082716699263</v>
      </c>
    </row>
    <row r="50" spans="1:8" ht="15" customHeight="1">
      <c r="A50" s="931">
        <v>47</v>
      </c>
      <c r="B50" s="931" t="s">
        <v>9</v>
      </c>
      <c r="C50" s="932" t="s">
        <v>61</v>
      </c>
      <c r="D50" s="937" t="s">
        <v>62</v>
      </c>
      <c r="E50" s="934">
        <v>1456</v>
      </c>
      <c r="F50" s="935">
        <v>5298.51</v>
      </c>
      <c r="G50" s="934">
        <f t="shared" si="0"/>
        <v>3842.51</v>
      </c>
      <c r="H50" s="936">
        <f t="shared" si="1"/>
        <v>0.2747942346055778</v>
      </c>
    </row>
    <row r="51" spans="1:8" ht="15" customHeight="1">
      <c r="A51" s="931">
        <v>48</v>
      </c>
      <c r="B51" s="931" t="s">
        <v>9</v>
      </c>
      <c r="C51" s="932" t="s">
        <v>61</v>
      </c>
      <c r="D51" s="937" t="s">
        <v>63</v>
      </c>
      <c r="E51" s="934">
        <v>1356</v>
      </c>
      <c r="F51" s="935">
        <v>3504.915</v>
      </c>
      <c r="G51" s="934">
        <f t="shared" si="0"/>
        <v>2148.915</v>
      </c>
      <c r="H51" s="936">
        <f t="shared" si="1"/>
        <v>0.3868852739652745</v>
      </c>
    </row>
    <row r="52" spans="1:8" ht="15" customHeight="1">
      <c r="A52" s="931">
        <v>49</v>
      </c>
      <c r="B52" s="931" t="s">
        <v>9</v>
      </c>
      <c r="C52" s="932" t="s">
        <v>61</v>
      </c>
      <c r="D52" s="937" t="s">
        <v>64</v>
      </c>
      <c r="E52" s="934">
        <v>1356</v>
      </c>
      <c r="F52" s="935">
        <v>5298.51</v>
      </c>
      <c r="G52" s="934">
        <f t="shared" si="0"/>
        <v>3942.51</v>
      </c>
      <c r="H52" s="936">
        <f t="shared" si="1"/>
        <v>0.25592100420684305</v>
      </c>
    </row>
    <row r="53" spans="1:8" ht="15" customHeight="1">
      <c r="A53" s="931">
        <v>50</v>
      </c>
      <c r="B53" s="931" t="s">
        <v>9</v>
      </c>
      <c r="C53" s="932" t="s">
        <v>61</v>
      </c>
      <c r="D53" s="937" t="s">
        <v>65</v>
      </c>
      <c r="E53" s="934">
        <v>2067</v>
      </c>
      <c r="F53" s="935">
        <v>3504.915</v>
      </c>
      <c r="G53" s="934">
        <f t="shared" si="0"/>
        <v>1437.915</v>
      </c>
      <c r="H53" s="936">
        <f t="shared" si="1"/>
        <v>0.5897432605355623</v>
      </c>
    </row>
    <row r="54" spans="1:8" ht="15" customHeight="1">
      <c r="A54" s="931">
        <v>51</v>
      </c>
      <c r="B54" s="931" t="s">
        <v>9</v>
      </c>
      <c r="C54" s="932" t="s">
        <v>61</v>
      </c>
      <c r="D54" s="937" t="s">
        <v>66</v>
      </c>
      <c r="E54" s="934">
        <v>3009</v>
      </c>
      <c r="F54" s="935">
        <v>5298.51</v>
      </c>
      <c r="G54" s="934">
        <f t="shared" si="0"/>
        <v>2289.51</v>
      </c>
      <c r="H54" s="936">
        <f t="shared" si="1"/>
        <v>0.5678955026979282</v>
      </c>
    </row>
    <row r="55" spans="1:8" ht="15" customHeight="1">
      <c r="A55" s="931">
        <v>52</v>
      </c>
      <c r="B55" s="931" t="s">
        <v>9</v>
      </c>
      <c r="C55" s="932" t="s">
        <v>67</v>
      </c>
      <c r="D55" s="937" t="s">
        <v>68</v>
      </c>
      <c r="E55" s="934">
        <v>2156</v>
      </c>
      <c r="F55" s="935">
        <v>5298.51</v>
      </c>
      <c r="G55" s="934">
        <f t="shared" si="0"/>
        <v>3142.51</v>
      </c>
      <c r="H55" s="936">
        <f t="shared" si="1"/>
        <v>0.40690684739672095</v>
      </c>
    </row>
    <row r="56" spans="1:8" ht="15" customHeight="1">
      <c r="A56" s="931">
        <v>53</v>
      </c>
      <c r="B56" s="931" t="s">
        <v>9</v>
      </c>
      <c r="C56" s="932" t="s">
        <v>67</v>
      </c>
      <c r="D56" s="937" t="s">
        <v>69</v>
      </c>
      <c r="E56" s="934">
        <v>2656</v>
      </c>
      <c r="F56" s="935">
        <v>7042.74</v>
      </c>
      <c r="G56" s="934">
        <f t="shared" si="0"/>
        <v>4386.74</v>
      </c>
      <c r="H56" s="936">
        <f t="shared" si="1"/>
        <v>0.3771259481395025</v>
      </c>
    </row>
    <row r="57" spans="1:8" ht="15" customHeight="1">
      <c r="A57" s="931">
        <v>54</v>
      </c>
      <c r="B57" s="931" t="s">
        <v>9</v>
      </c>
      <c r="C57" s="932" t="s">
        <v>67</v>
      </c>
      <c r="D57" s="937" t="s">
        <v>70</v>
      </c>
      <c r="E57" s="934">
        <v>56</v>
      </c>
      <c r="F57" s="935">
        <v>6006.075</v>
      </c>
      <c r="G57" s="934">
        <f t="shared" si="0"/>
        <v>5950.075</v>
      </c>
      <c r="H57" s="936">
        <f t="shared" si="1"/>
        <v>0.009323892891780407</v>
      </c>
    </row>
    <row r="58" spans="1:8" ht="15" customHeight="1">
      <c r="A58" s="931">
        <v>55</v>
      </c>
      <c r="B58" s="931" t="s">
        <v>9</v>
      </c>
      <c r="C58" s="932" t="s">
        <v>67</v>
      </c>
      <c r="D58" s="937" t="s">
        <v>71</v>
      </c>
      <c r="E58" s="934">
        <v>1556</v>
      </c>
      <c r="F58" s="935">
        <v>4344.12</v>
      </c>
      <c r="G58" s="934">
        <f t="shared" si="0"/>
        <v>2788.12</v>
      </c>
      <c r="H58" s="936">
        <f t="shared" si="1"/>
        <v>0.3581853171643509</v>
      </c>
    </row>
    <row r="59" spans="1:8" ht="15" customHeight="1">
      <c r="A59" s="931">
        <v>56</v>
      </c>
      <c r="B59" s="931" t="s">
        <v>9</v>
      </c>
      <c r="C59" s="932" t="s">
        <v>67</v>
      </c>
      <c r="D59" s="937" t="s">
        <v>72</v>
      </c>
      <c r="E59" s="934">
        <v>1656</v>
      </c>
      <c r="F59" s="935">
        <v>4344.12</v>
      </c>
      <c r="G59" s="934">
        <f t="shared" si="0"/>
        <v>2688.12</v>
      </c>
      <c r="H59" s="936">
        <f t="shared" si="1"/>
        <v>0.3812049390900804</v>
      </c>
    </row>
    <row r="60" spans="1:8" ht="15" customHeight="1">
      <c r="A60" s="931">
        <v>57</v>
      </c>
      <c r="B60" s="931" t="s">
        <v>9</v>
      </c>
      <c r="C60" s="932" t="s">
        <v>67</v>
      </c>
      <c r="D60" s="937" t="s">
        <v>73</v>
      </c>
      <c r="E60" s="934">
        <v>856</v>
      </c>
      <c r="F60" s="935">
        <v>5298.51</v>
      </c>
      <c r="G60" s="934">
        <f t="shared" si="0"/>
        <v>4442.51</v>
      </c>
      <c r="H60" s="936">
        <f t="shared" si="1"/>
        <v>0.16155485221316937</v>
      </c>
    </row>
    <row r="61" spans="1:8" ht="15" customHeight="1">
      <c r="A61" s="931">
        <v>58</v>
      </c>
      <c r="B61" s="931" t="s">
        <v>9</v>
      </c>
      <c r="C61" s="932" t="s">
        <v>67</v>
      </c>
      <c r="D61" s="937" t="s">
        <v>74</v>
      </c>
      <c r="E61" s="934">
        <v>56</v>
      </c>
      <c r="F61" s="935">
        <v>5298.51</v>
      </c>
      <c r="G61" s="934">
        <f t="shared" si="0"/>
        <v>5242.51</v>
      </c>
      <c r="H61" s="936">
        <f t="shared" si="1"/>
        <v>0.010569009023291453</v>
      </c>
    </row>
    <row r="62" spans="1:8" ht="15" customHeight="1">
      <c r="A62" s="931">
        <v>59</v>
      </c>
      <c r="B62" s="931" t="s">
        <v>9</v>
      </c>
      <c r="C62" s="932" t="s">
        <v>67</v>
      </c>
      <c r="D62" s="937" t="s">
        <v>75</v>
      </c>
      <c r="E62" s="934">
        <v>1956</v>
      </c>
      <c r="F62" s="935">
        <v>7042.74</v>
      </c>
      <c r="G62" s="934">
        <f t="shared" si="0"/>
        <v>5086.74</v>
      </c>
      <c r="H62" s="936">
        <f t="shared" si="1"/>
        <v>0.27773281421719387</v>
      </c>
    </row>
    <row r="63" spans="1:8" ht="15" customHeight="1">
      <c r="A63" s="931">
        <v>60</v>
      </c>
      <c r="B63" s="931" t="s">
        <v>9</v>
      </c>
      <c r="C63" s="932" t="s">
        <v>76</v>
      </c>
      <c r="D63" s="937" t="s">
        <v>77</v>
      </c>
      <c r="E63" s="934">
        <v>846</v>
      </c>
      <c r="F63" s="935">
        <v>3504.915</v>
      </c>
      <c r="G63" s="934">
        <f t="shared" si="0"/>
        <v>2658.915</v>
      </c>
      <c r="H63" s="936">
        <f t="shared" si="1"/>
        <v>0.24137532579249427</v>
      </c>
    </row>
    <row r="64" spans="1:8" ht="15" customHeight="1">
      <c r="A64" s="931">
        <v>61</v>
      </c>
      <c r="B64" s="931" t="s">
        <v>9</v>
      </c>
      <c r="C64" s="932" t="s">
        <v>76</v>
      </c>
      <c r="D64" s="937" t="s">
        <v>78</v>
      </c>
      <c r="E64" s="934">
        <v>1856</v>
      </c>
      <c r="F64" s="935">
        <v>4344.12</v>
      </c>
      <c r="G64" s="934">
        <f t="shared" si="0"/>
        <v>2488.12</v>
      </c>
      <c r="H64" s="936">
        <f t="shared" si="1"/>
        <v>0.4272441829415394</v>
      </c>
    </row>
    <row r="65" spans="1:8" ht="15" customHeight="1">
      <c r="A65" s="931">
        <v>62</v>
      </c>
      <c r="B65" s="931" t="s">
        <v>9</v>
      </c>
      <c r="C65" s="932" t="s">
        <v>76</v>
      </c>
      <c r="D65" s="937" t="s">
        <v>79</v>
      </c>
      <c r="E65" s="934">
        <v>856</v>
      </c>
      <c r="F65" s="935">
        <v>3504.915</v>
      </c>
      <c r="G65" s="934">
        <f t="shared" si="0"/>
        <v>2648.915</v>
      </c>
      <c r="H65" s="936">
        <f t="shared" si="1"/>
        <v>0.24422846203117624</v>
      </c>
    </row>
    <row r="66" spans="1:8" ht="15" customHeight="1">
      <c r="A66" s="931">
        <v>63</v>
      </c>
      <c r="B66" s="931" t="s">
        <v>9</v>
      </c>
      <c r="C66" s="932" t="s">
        <v>76</v>
      </c>
      <c r="D66" s="937" t="s">
        <v>80</v>
      </c>
      <c r="E66" s="934">
        <v>976</v>
      </c>
      <c r="F66" s="935">
        <v>4344.12</v>
      </c>
      <c r="G66" s="934">
        <f t="shared" si="0"/>
        <v>3368.12</v>
      </c>
      <c r="H66" s="936">
        <f t="shared" si="1"/>
        <v>0.22467150999511984</v>
      </c>
    </row>
    <row r="67" spans="1:8" ht="15" customHeight="1">
      <c r="A67" s="931">
        <v>64</v>
      </c>
      <c r="B67" s="931" t="s">
        <v>9</v>
      </c>
      <c r="C67" s="932" t="s">
        <v>76</v>
      </c>
      <c r="D67" s="937" t="s">
        <v>93</v>
      </c>
      <c r="E67" s="934">
        <v>987</v>
      </c>
      <c r="F67" s="935">
        <v>4344.12</v>
      </c>
      <c r="G67" s="934">
        <f t="shared" si="0"/>
        <v>3357.12</v>
      </c>
      <c r="H67" s="936">
        <f t="shared" si="1"/>
        <v>0.22720366840695008</v>
      </c>
    </row>
    <row r="68" spans="1:8" ht="15" customHeight="1">
      <c r="A68" s="931">
        <v>65</v>
      </c>
      <c r="B68" s="931" t="s">
        <v>9</v>
      </c>
      <c r="C68" s="932" t="s">
        <v>76</v>
      </c>
      <c r="D68" s="937" t="s">
        <v>94</v>
      </c>
      <c r="E68" s="934">
        <v>745</v>
      </c>
      <c r="F68" s="935">
        <v>4344.12</v>
      </c>
      <c r="G68" s="934">
        <f aca="true" t="shared" si="2" ref="G68:G74">F68-E68</f>
        <v>3599.12</v>
      </c>
      <c r="H68" s="936">
        <f aca="true" t="shared" si="3" ref="H68:H74">E68/F68</f>
        <v>0.1714961833466847</v>
      </c>
    </row>
    <row r="69" spans="1:8" ht="15" customHeight="1">
      <c r="A69" s="931">
        <v>66</v>
      </c>
      <c r="B69" s="931" t="s">
        <v>9</v>
      </c>
      <c r="C69" s="932" t="s">
        <v>81</v>
      </c>
      <c r="D69" s="933" t="s">
        <v>82</v>
      </c>
      <c r="E69" s="934">
        <v>1077</v>
      </c>
      <c r="F69" s="935">
        <v>7042.74</v>
      </c>
      <c r="G69" s="934">
        <f t="shared" si="2"/>
        <v>5965.74</v>
      </c>
      <c r="H69" s="936">
        <f t="shared" si="3"/>
        <v>0.15292343604903774</v>
      </c>
    </row>
    <row r="70" spans="1:8" ht="15" customHeight="1">
      <c r="A70" s="931">
        <v>67</v>
      </c>
      <c r="B70" s="931" t="s">
        <v>9</v>
      </c>
      <c r="C70" s="932" t="s">
        <v>81</v>
      </c>
      <c r="D70" s="933" t="s">
        <v>83</v>
      </c>
      <c r="E70" s="934">
        <v>2506</v>
      </c>
      <c r="F70" s="935">
        <v>7042.74</v>
      </c>
      <c r="G70" s="934">
        <f t="shared" si="2"/>
        <v>4536.74</v>
      </c>
      <c r="H70" s="936">
        <f t="shared" si="3"/>
        <v>0.35582741944186497</v>
      </c>
    </row>
    <row r="71" spans="1:8" ht="15" customHeight="1">
      <c r="A71" s="931">
        <v>68</v>
      </c>
      <c r="B71" s="931" t="s">
        <v>9</v>
      </c>
      <c r="C71" s="932" t="s">
        <v>81</v>
      </c>
      <c r="D71" s="933" t="s">
        <v>84</v>
      </c>
      <c r="E71" s="934">
        <v>2203</v>
      </c>
      <c r="F71" s="935">
        <v>4344.12</v>
      </c>
      <c r="G71" s="934">
        <f t="shared" si="2"/>
        <v>2141.12</v>
      </c>
      <c r="H71" s="936">
        <f t="shared" si="3"/>
        <v>0.5071222710238207</v>
      </c>
    </row>
    <row r="72" spans="1:8" ht="15" customHeight="1">
      <c r="A72" s="931">
        <v>69</v>
      </c>
      <c r="B72" s="931" t="s">
        <v>9</v>
      </c>
      <c r="C72" s="932" t="s">
        <v>81</v>
      </c>
      <c r="D72" s="933" t="s">
        <v>85</v>
      </c>
      <c r="E72" s="934">
        <v>1260</v>
      </c>
      <c r="F72" s="935">
        <v>4344.12</v>
      </c>
      <c r="G72" s="934">
        <f t="shared" si="2"/>
        <v>3084.12</v>
      </c>
      <c r="H72" s="936">
        <f t="shared" si="3"/>
        <v>0.2900472362641916</v>
      </c>
    </row>
    <row r="73" spans="1:8" ht="15" customHeight="1">
      <c r="A73" s="931">
        <v>70</v>
      </c>
      <c r="B73" s="931" t="s">
        <v>9</v>
      </c>
      <c r="C73" s="932" t="s">
        <v>81</v>
      </c>
      <c r="D73" s="933" t="s">
        <v>86</v>
      </c>
      <c r="E73" s="934">
        <v>1303</v>
      </c>
      <c r="F73" s="935">
        <v>4344.12</v>
      </c>
      <c r="G73" s="934">
        <f t="shared" si="2"/>
        <v>3041.12</v>
      </c>
      <c r="H73" s="936">
        <f t="shared" si="3"/>
        <v>0.2999456736922553</v>
      </c>
    </row>
    <row r="74" spans="1:8" ht="15" customHeight="1">
      <c r="A74" s="931">
        <v>71</v>
      </c>
      <c r="B74" s="931" t="s">
        <v>9</v>
      </c>
      <c r="C74" s="932" t="s">
        <v>81</v>
      </c>
      <c r="D74" s="933" t="s">
        <v>87</v>
      </c>
      <c r="E74" s="934">
        <v>1531</v>
      </c>
      <c r="F74" s="935">
        <v>7042.74</v>
      </c>
      <c r="G74" s="934">
        <f t="shared" si="2"/>
        <v>5511.74</v>
      </c>
      <c r="H74" s="936">
        <f t="shared" si="3"/>
        <v>0.21738698290722078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902777777777778" right="0.4722222222222222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workbookViewId="0" topLeftCell="A8">
      <selection activeCell="G9" sqref="G9"/>
    </sheetView>
  </sheetViews>
  <sheetFormatPr defaultColWidth="9.00390625" defaultRowHeight="14.25"/>
  <cols>
    <col min="1" max="1" width="4.875" style="0" customWidth="1"/>
    <col min="2" max="2" width="7.00390625" style="0" customWidth="1"/>
    <col min="3" max="6" width="12.625" style="0" customWidth="1"/>
    <col min="7" max="7" width="11.50390625" style="0" customWidth="1"/>
    <col min="8" max="8" width="12.375" style="0" customWidth="1"/>
  </cols>
  <sheetData>
    <row r="1" spans="1:8" s="923" customFormat="1" ht="42.75" customHeight="1">
      <c r="A1" s="924" t="s">
        <v>96</v>
      </c>
      <c r="B1" s="924"/>
      <c r="C1" s="924"/>
      <c r="D1" s="924"/>
      <c r="E1" s="924"/>
      <c r="F1" s="924"/>
      <c r="G1" s="924"/>
      <c r="H1" s="924"/>
    </row>
    <row r="2" spans="1:8" ht="15" customHeight="1">
      <c r="A2" s="925" t="s">
        <v>1</v>
      </c>
      <c r="B2" s="925" t="s">
        <v>2</v>
      </c>
      <c r="C2" s="926" t="s">
        <v>3</v>
      </c>
      <c r="D2" s="926" t="s">
        <v>4</v>
      </c>
      <c r="E2" s="927" t="s">
        <v>5</v>
      </c>
      <c r="F2" s="928" t="s">
        <v>6</v>
      </c>
      <c r="G2" s="928" t="s">
        <v>7</v>
      </c>
      <c r="H2" s="929" t="s">
        <v>8</v>
      </c>
    </row>
    <row r="3" spans="1:8" ht="15" customHeight="1">
      <c r="A3" s="925"/>
      <c r="B3" s="925"/>
      <c r="C3" s="926"/>
      <c r="D3" s="926"/>
      <c r="E3" s="927"/>
      <c r="F3" s="928"/>
      <c r="G3" s="928"/>
      <c r="H3" s="930"/>
    </row>
    <row r="4" spans="1:8" ht="15" customHeight="1">
      <c r="A4" s="931">
        <v>1</v>
      </c>
      <c r="B4" s="931" t="s">
        <v>9</v>
      </c>
      <c r="C4" s="932" t="s">
        <v>10</v>
      </c>
      <c r="D4" s="933" t="s">
        <v>11</v>
      </c>
      <c r="E4" s="934">
        <v>3035</v>
      </c>
      <c r="F4" s="935">
        <v>5923.8</v>
      </c>
      <c r="G4" s="934">
        <f aca="true" t="shared" si="0" ref="G4:G67">F4-E4</f>
        <v>2888.8</v>
      </c>
      <c r="H4" s="936">
        <f aca="true" t="shared" si="1" ref="H4:H67">E4/F4</f>
        <v>0.5123400519936527</v>
      </c>
    </row>
    <row r="5" spans="1:8" ht="15" customHeight="1">
      <c r="A5" s="931">
        <v>2</v>
      </c>
      <c r="B5" s="931" t="s">
        <v>9</v>
      </c>
      <c r="C5" s="932" t="s">
        <v>10</v>
      </c>
      <c r="D5" s="933" t="s">
        <v>12</v>
      </c>
      <c r="E5" s="934">
        <v>2200</v>
      </c>
      <c r="F5" s="935">
        <v>3504.915</v>
      </c>
      <c r="G5" s="934">
        <f t="shared" si="0"/>
        <v>1304.915</v>
      </c>
      <c r="H5" s="936">
        <f t="shared" si="1"/>
        <v>0.6276899725100323</v>
      </c>
    </row>
    <row r="6" spans="1:8" ht="15" customHeight="1">
      <c r="A6" s="931">
        <v>3</v>
      </c>
      <c r="B6" s="931" t="s">
        <v>9</v>
      </c>
      <c r="C6" s="932" t="s">
        <v>10</v>
      </c>
      <c r="D6" s="933" t="s">
        <v>13</v>
      </c>
      <c r="E6" s="934">
        <v>1265</v>
      </c>
      <c r="F6" s="935">
        <v>3504.915</v>
      </c>
      <c r="G6" s="934">
        <f t="shared" si="0"/>
        <v>2239.915</v>
      </c>
      <c r="H6" s="936">
        <f t="shared" si="1"/>
        <v>0.3609217341932686</v>
      </c>
    </row>
    <row r="7" spans="1:8" ht="15" customHeight="1">
      <c r="A7" s="931">
        <v>4</v>
      </c>
      <c r="B7" s="931" t="s">
        <v>9</v>
      </c>
      <c r="C7" s="932" t="s">
        <v>10</v>
      </c>
      <c r="D7" s="933" t="s">
        <v>14</v>
      </c>
      <c r="E7" s="934">
        <v>1556</v>
      </c>
      <c r="F7" s="935">
        <v>4344.12</v>
      </c>
      <c r="G7" s="934">
        <f t="shared" si="0"/>
        <v>2788.12</v>
      </c>
      <c r="H7" s="936">
        <f t="shared" si="1"/>
        <v>0.3581853171643509</v>
      </c>
    </row>
    <row r="8" spans="1:8" ht="15" customHeight="1">
      <c r="A8" s="931">
        <v>5</v>
      </c>
      <c r="B8" s="931" t="s">
        <v>9</v>
      </c>
      <c r="C8" s="932" t="s">
        <v>10</v>
      </c>
      <c r="D8" s="933" t="s">
        <v>15</v>
      </c>
      <c r="E8" s="934">
        <v>1975</v>
      </c>
      <c r="F8" s="935">
        <v>4344.12</v>
      </c>
      <c r="G8" s="934">
        <f t="shared" si="0"/>
        <v>2369.12</v>
      </c>
      <c r="H8" s="936">
        <f t="shared" si="1"/>
        <v>0.45463753303315746</v>
      </c>
    </row>
    <row r="9" spans="1:8" ht="15" customHeight="1">
      <c r="A9" s="931">
        <v>6</v>
      </c>
      <c r="B9" s="931" t="s">
        <v>9</v>
      </c>
      <c r="C9" s="932" t="s">
        <v>10</v>
      </c>
      <c r="D9" s="933" t="s">
        <v>16</v>
      </c>
      <c r="E9" s="934">
        <v>2356</v>
      </c>
      <c r="F9" s="935">
        <v>4344.12</v>
      </c>
      <c r="G9" s="934">
        <f t="shared" si="0"/>
        <v>1988.12</v>
      </c>
      <c r="H9" s="936">
        <f t="shared" si="1"/>
        <v>0.5423422925701868</v>
      </c>
    </row>
    <row r="10" spans="1:8" ht="15" customHeight="1">
      <c r="A10" s="931">
        <v>7</v>
      </c>
      <c r="B10" s="931" t="s">
        <v>9</v>
      </c>
      <c r="C10" s="932" t="s">
        <v>10</v>
      </c>
      <c r="D10" s="933" t="s">
        <v>17</v>
      </c>
      <c r="E10" s="934">
        <v>4025</v>
      </c>
      <c r="F10" s="935">
        <v>7048</v>
      </c>
      <c r="G10" s="934">
        <f t="shared" si="0"/>
        <v>3023</v>
      </c>
      <c r="H10" s="936">
        <f t="shared" si="1"/>
        <v>0.5710839954597049</v>
      </c>
    </row>
    <row r="11" spans="1:8" ht="15" customHeight="1">
      <c r="A11" s="931">
        <v>8</v>
      </c>
      <c r="B11" s="931" t="s">
        <v>9</v>
      </c>
      <c r="C11" s="932" t="s">
        <v>10</v>
      </c>
      <c r="D11" s="937" t="s">
        <v>18</v>
      </c>
      <c r="E11" s="934">
        <v>3696</v>
      </c>
      <c r="F11" s="935">
        <v>7048</v>
      </c>
      <c r="G11" s="934">
        <f t="shared" si="0"/>
        <v>3352</v>
      </c>
      <c r="H11" s="936">
        <f t="shared" si="1"/>
        <v>0.5244040862656073</v>
      </c>
    </row>
    <row r="12" spans="1:8" ht="15" customHeight="1">
      <c r="A12" s="931">
        <v>9</v>
      </c>
      <c r="B12" s="931" t="s">
        <v>9</v>
      </c>
      <c r="C12" s="932" t="s">
        <v>10</v>
      </c>
      <c r="D12" s="937" t="s">
        <v>19</v>
      </c>
      <c r="E12" s="934">
        <v>2156</v>
      </c>
      <c r="F12" s="935">
        <v>4344.12</v>
      </c>
      <c r="G12" s="934">
        <f t="shared" si="0"/>
        <v>2188.12</v>
      </c>
      <c r="H12" s="936">
        <f t="shared" si="1"/>
        <v>0.4963030487187279</v>
      </c>
    </row>
    <row r="13" spans="1:8" ht="15" customHeight="1">
      <c r="A13" s="931">
        <v>10</v>
      </c>
      <c r="B13" s="931" t="s">
        <v>9</v>
      </c>
      <c r="C13" s="932" t="s">
        <v>10</v>
      </c>
      <c r="D13" s="937" t="s">
        <v>20</v>
      </c>
      <c r="E13" s="934">
        <v>3806</v>
      </c>
      <c r="F13" s="935">
        <v>6006.075</v>
      </c>
      <c r="G13" s="934">
        <f t="shared" si="0"/>
        <v>2200.075</v>
      </c>
      <c r="H13" s="936">
        <f t="shared" si="1"/>
        <v>0.6336917204663611</v>
      </c>
    </row>
    <row r="14" spans="1:8" ht="15" customHeight="1">
      <c r="A14" s="931">
        <v>11</v>
      </c>
      <c r="B14" s="931" t="s">
        <v>9</v>
      </c>
      <c r="C14" s="932" t="s">
        <v>10</v>
      </c>
      <c r="D14" s="937" t="s">
        <v>90</v>
      </c>
      <c r="E14" s="934">
        <v>2471</v>
      </c>
      <c r="F14" s="935">
        <v>4344.12</v>
      </c>
      <c r="G14" s="934">
        <f t="shared" si="0"/>
        <v>1873.12</v>
      </c>
      <c r="H14" s="936">
        <f t="shared" si="1"/>
        <v>0.5688148577847758</v>
      </c>
    </row>
    <row r="15" spans="1:8" ht="15" customHeight="1">
      <c r="A15" s="931">
        <v>12</v>
      </c>
      <c r="B15" s="931" t="s">
        <v>9</v>
      </c>
      <c r="C15" s="932" t="s">
        <v>10</v>
      </c>
      <c r="D15" s="937" t="s">
        <v>91</v>
      </c>
      <c r="E15" s="934">
        <v>1347</v>
      </c>
      <c r="F15" s="935">
        <v>4344.12</v>
      </c>
      <c r="G15" s="934">
        <f t="shared" si="0"/>
        <v>2997.12</v>
      </c>
      <c r="H15" s="936">
        <f t="shared" si="1"/>
        <v>0.31007430733957625</v>
      </c>
    </row>
    <row r="16" spans="1:8" ht="15" customHeight="1">
      <c r="A16" s="931">
        <v>13</v>
      </c>
      <c r="B16" s="931" t="s">
        <v>9</v>
      </c>
      <c r="C16" s="932" t="s">
        <v>21</v>
      </c>
      <c r="D16" s="937" t="s">
        <v>22</v>
      </c>
      <c r="E16" s="934">
        <v>876</v>
      </c>
      <c r="F16" s="935">
        <v>3504.915</v>
      </c>
      <c r="G16" s="934">
        <f t="shared" si="0"/>
        <v>2628.915</v>
      </c>
      <c r="H16" s="936">
        <f t="shared" si="1"/>
        <v>0.24993473450854015</v>
      </c>
    </row>
    <row r="17" spans="1:8" ht="15" customHeight="1">
      <c r="A17" s="931">
        <v>14</v>
      </c>
      <c r="B17" s="931" t="s">
        <v>9</v>
      </c>
      <c r="C17" s="932" t="s">
        <v>21</v>
      </c>
      <c r="D17" s="937" t="s">
        <v>23</v>
      </c>
      <c r="E17" s="934">
        <v>536</v>
      </c>
      <c r="F17" s="935">
        <v>3504.915</v>
      </c>
      <c r="G17" s="934">
        <f t="shared" si="0"/>
        <v>2968.915</v>
      </c>
      <c r="H17" s="936">
        <f t="shared" si="1"/>
        <v>0.15292810239335333</v>
      </c>
    </row>
    <row r="18" spans="1:8" ht="15" customHeight="1">
      <c r="A18" s="931">
        <v>15</v>
      </c>
      <c r="B18" s="931" t="s">
        <v>9</v>
      </c>
      <c r="C18" s="932" t="s">
        <v>24</v>
      </c>
      <c r="D18" s="933" t="s">
        <v>25</v>
      </c>
      <c r="E18" s="934">
        <v>5368</v>
      </c>
      <c r="F18" s="935">
        <v>9691.995</v>
      </c>
      <c r="G18" s="934">
        <f t="shared" si="0"/>
        <v>4323.995000000001</v>
      </c>
      <c r="H18" s="936">
        <f t="shared" si="1"/>
        <v>0.5538591383920441</v>
      </c>
    </row>
    <row r="19" spans="1:8" ht="15" customHeight="1">
      <c r="A19" s="931">
        <v>16</v>
      </c>
      <c r="B19" s="931" t="s">
        <v>9</v>
      </c>
      <c r="C19" s="932" t="s">
        <v>24</v>
      </c>
      <c r="D19" s="933" t="s">
        <v>26</v>
      </c>
      <c r="E19" s="934">
        <v>56</v>
      </c>
      <c r="F19" s="935">
        <v>9691.995</v>
      </c>
      <c r="G19" s="934">
        <f t="shared" si="0"/>
        <v>9635.995</v>
      </c>
      <c r="H19" s="936">
        <f t="shared" si="1"/>
        <v>0.005777964185908061</v>
      </c>
    </row>
    <row r="20" spans="1:8" ht="15" customHeight="1">
      <c r="A20" s="931">
        <v>17</v>
      </c>
      <c r="B20" s="931" t="s">
        <v>9</v>
      </c>
      <c r="C20" s="932" t="s">
        <v>24</v>
      </c>
      <c r="D20" s="933" t="s">
        <v>27</v>
      </c>
      <c r="E20" s="934">
        <v>436</v>
      </c>
      <c r="F20" s="935">
        <v>9691.995</v>
      </c>
      <c r="G20" s="934">
        <f t="shared" si="0"/>
        <v>9255.995</v>
      </c>
      <c r="H20" s="936">
        <f t="shared" si="1"/>
        <v>0.0449855783045699</v>
      </c>
    </row>
    <row r="21" spans="1:8" ht="15" customHeight="1">
      <c r="A21" s="931">
        <v>18</v>
      </c>
      <c r="B21" s="931" t="s">
        <v>9</v>
      </c>
      <c r="C21" s="932" t="s">
        <v>24</v>
      </c>
      <c r="D21" s="933" t="s">
        <v>28</v>
      </c>
      <c r="E21" s="934">
        <v>56</v>
      </c>
      <c r="F21" s="935">
        <v>9691.995</v>
      </c>
      <c r="G21" s="934">
        <f t="shared" si="0"/>
        <v>9635.995</v>
      </c>
      <c r="H21" s="936">
        <f t="shared" si="1"/>
        <v>0.005777964185908061</v>
      </c>
    </row>
    <row r="22" spans="1:8" ht="15" customHeight="1">
      <c r="A22" s="931">
        <v>19</v>
      </c>
      <c r="B22" s="931" t="s">
        <v>9</v>
      </c>
      <c r="C22" s="932" t="s">
        <v>24</v>
      </c>
      <c r="D22" s="933" t="s">
        <v>29</v>
      </c>
      <c r="E22" s="934">
        <v>1056</v>
      </c>
      <c r="F22" s="935">
        <v>4344.12</v>
      </c>
      <c r="G22" s="934">
        <f t="shared" si="0"/>
        <v>3288.12</v>
      </c>
      <c r="H22" s="936">
        <f t="shared" si="1"/>
        <v>0.24308720753570345</v>
      </c>
    </row>
    <row r="23" spans="1:8" ht="15" customHeight="1">
      <c r="A23" s="931">
        <v>20</v>
      </c>
      <c r="B23" s="931" t="s">
        <v>9</v>
      </c>
      <c r="C23" s="932" t="s">
        <v>24</v>
      </c>
      <c r="D23" s="933" t="s">
        <v>30</v>
      </c>
      <c r="E23" s="934">
        <v>1152</v>
      </c>
      <c r="F23" s="935">
        <v>4344.12</v>
      </c>
      <c r="G23" s="934">
        <f t="shared" si="0"/>
        <v>3192.12</v>
      </c>
      <c r="H23" s="936">
        <f t="shared" si="1"/>
        <v>0.26518604458440376</v>
      </c>
    </row>
    <row r="24" spans="1:8" ht="15" customHeight="1">
      <c r="A24" s="931">
        <v>21</v>
      </c>
      <c r="B24" s="931" t="s">
        <v>9</v>
      </c>
      <c r="C24" s="932" t="s">
        <v>31</v>
      </c>
      <c r="D24" s="933" t="s">
        <v>32</v>
      </c>
      <c r="E24" s="934">
        <v>56</v>
      </c>
      <c r="F24" s="935">
        <v>4344.12</v>
      </c>
      <c r="G24" s="934">
        <f t="shared" si="0"/>
        <v>4288.12</v>
      </c>
      <c r="H24" s="936">
        <f t="shared" si="1"/>
        <v>0.012890988278408516</v>
      </c>
    </row>
    <row r="25" spans="1:8" ht="15" customHeight="1">
      <c r="A25" s="931">
        <v>22</v>
      </c>
      <c r="B25" s="931" t="s">
        <v>9</v>
      </c>
      <c r="C25" s="932" t="s">
        <v>31</v>
      </c>
      <c r="D25" s="933" t="s">
        <v>33</v>
      </c>
      <c r="E25" s="934">
        <v>56</v>
      </c>
      <c r="F25" s="935">
        <v>4344.12</v>
      </c>
      <c r="G25" s="934">
        <f t="shared" si="0"/>
        <v>4288.12</v>
      </c>
      <c r="H25" s="936">
        <f t="shared" si="1"/>
        <v>0.012890988278408516</v>
      </c>
    </row>
    <row r="26" spans="1:8" ht="15" customHeight="1">
      <c r="A26" s="931">
        <v>23</v>
      </c>
      <c r="B26" s="931" t="s">
        <v>9</v>
      </c>
      <c r="C26" s="932" t="s">
        <v>31</v>
      </c>
      <c r="D26" s="933" t="s">
        <v>34</v>
      </c>
      <c r="E26" s="934">
        <v>3656</v>
      </c>
      <c r="F26" s="935">
        <v>9691.995</v>
      </c>
      <c r="G26" s="934">
        <f t="shared" si="0"/>
        <v>6035.995000000001</v>
      </c>
      <c r="H26" s="936">
        <f t="shared" si="1"/>
        <v>0.3772185189942834</v>
      </c>
    </row>
    <row r="27" spans="1:8" ht="15" customHeight="1">
      <c r="A27" s="931">
        <v>24</v>
      </c>
      <c r="B27" s="931" t="s">
        <v>9</v>
      </c>
      <c r="C27" s="932" t="s">
        <v>31</v>
      </c>
      <c r="D27" s="933" t="s">
        <v>35</v>
      </c>
      <c r="E27" s="934">
        <v>786</v>
      </c>
      <c r="F27" s="935">
        <v>9691.995</v>
      </c>
      <c r="G27" s="934">
        <f t="shared" si="0"/>
        <v>8905.995</v>
      </c>
      <c r="H27" s="936">
        <f t="shared" si="1"/>
        <v>0.08109785446649528</v>
      </c>
    </row>
    <row r="28" spans="1:8" ht="15" customHeight="1">
      <c r="A28" s="931">
        <v>25</v>
      </c>
      <c r="B28" s="931" t="s">
        <v>9</v>
      </c>
      <c r="C28" s="932" t="s">
        <v>31</v>
      </c>
      <c r="D28" s="933" t="s">
        <v>36</v>
      </c>
      <c r="E28" s="934">
        <v>886</v>
      </c>
      <c r="F28" s="935">
        <v>4344.12</v>
      </c>
      <c r="G28" s="934">
        <f t="shared" si="0"/>
        <v>3458.12</v>
      </c>
      <c r="H28" s="936">
        <f t="shared" si="1"/>
        <v>0.2039538502619633</v>
      </c>
    </row>
    <row r="29" spans="1:8" ht="15" customHeight="1">
      <c r="A29" s="931">
        <v>26</v>
      </c>
      <c r="B29" s="931" t="s">
        <v>9</v>
      </c>
      <c r="C29" s="932" t="s">
        <v>37</v>
      </c>
      <c r="D29" s="937" t="s">
        <v>38</v>
      </c>
      <c r="E29" s="934">
        <v>2456</v>
      </c>
      <c r="F29" s="935">
        <v>4344.12</v>
      </c>
      <c r="G29" s="934">
        <f t="shared" si="0"/>
        <v>1888.12</v>
      </c>
      <c r="H29" s="936">
        <f t="shared" si="1"/>
        <v>0.5653619144959163</v>
      </c>
    </row>
    <row r="30" spans="1:8" ht="15" customHeight="1">
      <c r="A30" s="931">
        <v>27</v>
      </c>
      <c r="B30" s="931" t="s">
        <v>9</v>
      </c>
      <c r="C30" s="932" t="s">
        <v>37</v>
      </c>
      <c r="D30" s="937" t="s">
        <v>39</v>
      </c>
      <c r="E30" s="934">
        <v>985</v>
      </c>
      <c r="F30" s="935">
        <v>3504.915</v>
      </c>
      <c r="G30" s="934">
        <f t="shared" si="0"/>
        <v>2519.915</v>
      </c>
      <c r="H30" s="936">
        <f t="shared" si="1"/>
        <v>0.2810339195101736</v>
      </c>
    </row>
    <row r="31" spans="1:8" ht="15" customHeight="1">
      <c r="A31" s="931">
        <v>28</v>
      </c>
      <c r="B31" s="931" t="s">
        <v>9</v>
      </c>
      <c r="C31" s="932" t="s">
        <v>37</v>
      </c>
      <c r="D31" s="937" t="s">
        <v>40</v>
      </c>
      <c r="E31" s="934">
        <v>786</v>
      </c>
      <c r="F31" s="935">
        <v>5298.51</v>
      </c>
      <c r="G31" s="934">
        <f t="shared" si="0"/>
        <v>4512.51</v>
      </c>
      <c r="H31" s="936">
        <f t="shared" si="1"/>
        <v>0.14834359093405505</v>
      </c>
    </row>
    <row r="32" spans="1:8" ht="15" customHeight="1">
      <c r="A32" s="931">
        <v>29</v>
      </c>
      <c r="B32" s="931" t="s">
        <v>9</v>
      </c>
      <c r="C32" s="932" t="s">
        <v>37</v>
      </c>
      <c r="D32" s="937" t="s">
        <v>41</v>
      </c>
      <c r="E32" s="934">
        <v>486</v>
      </c>
      <c r="F32" s="935">
        <v>6006.075</v>
      </c>
      <c r="G32" s="934">
        <f t="shared" si="0"/>
        <v>5520.075</v>
      </c>
      <c r="H32" s="936">
        <f t="shared" si="1"/>
        <v>0.08091807045366567</v>
      </c>
    </row>
    <row r="33" spans="1:8" ht="15" customHeight="1">
      <c r="A33" s="931">
        <v>30</v>
      </c>
      <c r="B33" s="931" t="s">
        <v>9</v>
      </c>
      <c r="C33" s="932" t="s">
        <v>42</v>
      </c>
      <c r="D33" s="937" t="s">
        <v>43</v>
      </c>
      <c r="E33" s="934">
        <v>776</v>
      </c>
      <c r="F33" s="935">
        <v>4344.12</v>
      </c>
      <c r="G33" s="934">
        <f t="shared" si="0"/>
        <v>3568.12</v>
      </c>
      <c r="H33" s="936">
        <f t="shared" si="1"/>
        <v>0.17863226614366087</v>
      </c>
    </row>
    <row r="34" spans="1:8" ht="15" customHeight="1">
      <c r="A34" s="931">
        <v>31</v>
      </c>
      <c r="B34" s="931" t="s">
        <v>9</v>
      </c>
      <c r="C34" s="932" t="s">
        <v>42</v>
      </c>
      <c r="D34" s="937" t="s">
        <v>44</v>
      </c>
      <c r="E34" s="934">
        <v>1971</v>
      </c>
      <c r="F34" s="935">
        <v>3504.915</v>
      </c>
      <c r="G34" s="934">
        <f t="shared" si="0"/>
        <v>1533.915</v>
      </c>
      <c r="H34" s="936">
        <f t="shared" si="1"/>
        <v>0.5623531526442154</v>
      </c>
    </row>
    <row r="35" spans="1:8" ht="15" customHeight="1">
      <c r="A35" s="931">
        <v>32</v>
      </c>
      <c r="B35" s="931" t="s">
        <v>9</v>
      </c>
      <c r="C35" s="932" t="s">
        <v>42</v>
      </c>
      <c r="D35" s="937" t="s">
        <v>45</v>
      </c>
      <c r="E35" s="934">
        <v>3566</v>
      </c>
      <c r="F35" s="935">
        <v>6006.075</v>
      </c>
      <c r="G35" s="934">
        <f t="shared" si="0"/>
        <v>2440.075</v>
      </c>
      <c r="H35" s="936">
        <f t="shared" si="1"/>
        <v>0.593732179501588</v>
      </c>
    </row>
    <row r="36" spans="1:8" ht="15" customHeight="1">
      <c r="A36" s="931">
        <v>33</v>
      </c>
      <c r="B36" s="931" t="s">
        <v>9</v>
      </c>
      <c r="C36" s="932" t="s">
        <v>42</v>
      </c>
      <c r="D36" s="937" t="s">
        <v>46</v>
      </c>
      <c r="E36" s="934">
        <v>1656</v>
      </c>
      <c r="F36" s="935">
        <v>4344.12</v>
      </c>
      <c r="G36" s="934">
        <f t="shared" si="0"/>
        <v>2688.12</v>
      </c>
      <c r="H36" s="936">
        <f t="shared" si="1"/>
        <v>0.3812049390900804</v>
      </c>
    </row>
    <row r="37" spans="1:8" ht="15" customHeight="1">
      <c r="A37" s="931">
        <v>34</v>
      </c>
      <c r="B37" s="931" t="s">
        <v>9</v>
      </c>
      <c r="C37" s="932" t="s">
        <v>42</v>
      </c>
      <c r="D37" s="937" t="s">
        <v>47</v>
      </c>
      <c r="E37" s="934">
        <v>1956</v>
      </c>
      <c r="F37" s="935">
        <v>5298.51</v>
      </c>
      <c r="G37" s="934">
        <f t="shared" si="0"/>
        <v>3342.51</v>
      </c>
      <c r="H37" s="936">
        <f t="shared" si="1"/>
        <v>0.3691603865992515</v>
      </c>
    </row>
    <row r="38" spans="1:8" ht="15" customHeight="1">
      <c r="A38" s="931">
        <v>35</v>
      </c>
      <c r="B38" s="931" t="s">
        <v>9</v>
      </c>
      <c r="C38" s="932" t="s">
        <v>42</v>
      </c>
      <c r="D38" s="937" t="s">
        <v>48</v>
      </c>
      <c r="E38" s="934">
        <v>3056</v>
      </c>
      <c r="F38" s="935">
        <v>7042.74</v>
      </c>
      <c r="G38" s="934">
        <f t="shared" si="0"/>
        <v>3986.74</v>
      </c>
      <c r="H38" s="936">
        <f t="shared" si="1"/>
        <v>0.43392202466653607</v>
      </c>
    </row>
    <row r="39" spans="1:8" ht="15" customHeight="1">
      <c r="A39" s="931">
        <v>36</v>
      </c>
      <c r="B39" s="931" t="s">
        <v>9</v>
      </c>
      <c r="C39" s="932" t="s">
        <v>42</v>
      </c>
      <c r="D39" s="937" t="s">
        <v>49</v>
      </c>
      <c r="E39" s="934">
        <v>2556</v>
      </c>
      <c r="F39" s="935">
        <v>4344.12</v>
      </c>
      <c r="G39" s="934">
        <f t="shared" si="0"/>
        <v>1788.12</v>
      </c>
      <c r="H39" s="936">
        <f t="shared" si="1"/>
        <v>0.5883815364216458</v>
      </c>
    </row>
    <row r="40" spans="1:8" ht="15" customHeight="1">
      <c r="A40" s="931">
        <v>37</v>
      </c>
      <c r="B40" s="931" t="s">
        <v>9</v>
      </c>
      <c r="C40" s="932" t="s">
        <v>42</v>
      </c>
      <c r="D40" s="937" t="s">
        <v>50</v>
      </c>
      <c r="E40" s="934">
        <v>2956</v>
      </c>
      <c r="F40" s="935">
        <v>5298.51</v>
      </c>
      <c r="G40" s="934">
        <f t="shared" si="0"/>
        <v>2342.51</v>
      </c>
      <c r="H40" s="936">
        <f t="shared" si="1"/>
        <v>0.5578926905865988</v>
      </c>
    </row>
    <row r="41" spans="1:8" ht="15" customHeight="1">
      <c r="A41" s="931">
        <v>38</v>
      </c>
      <c r="B41" s="931" t="s">
        <v>9</v>
      </c>
      <c r="C41" s="932" t="s">
        <v>42</v>
      </c>
      <c r="D41" s="937" t="s">
        <v>51</v>
      </c>
      <c r="E41" s="934">
        <v>3070</v>
      </c>
      <c r="F41" s="935">
        <v>5298.51</v>
      </c>
      <c r="G41" s="934">
        <f t="shared" si="0"/>
        <v>2228.51</v>
      </c>
      <c r="H41" s="936">
        <f t="shared" si="1"/>
        <v>0.5794081732411565</v>
      </c>
    </row>
    <row r="42" spans="1:8" ht="15" customHeight="1">
      <c r="A42" s="931">
        <v>39</v>
      </c>
      <c r="B42" s="931" t="s">
        <v>9</v>
      </c>
      <c r="C42" s="932" t="s">
        <v>52</v>
      </c>
      <c r="D42" s="937" t="s">
        <v>53</v>
      </c>
      <c r="E42" s="934">
        <v>916</v>
      </c>
      <c r="F42" s="935">
        <v>3504.915</v>
      </c>
      <c r="G42" s="934">
        <f t="shared" si="0"/>
        <v>2588.915</v>
      </c>
      <c r="H42" s="936">
        <f t="shared" si="1"/>
        <v>0.261347279463268</v>
      </c>
    </row>
    <row r="43" spans="1:8" ht="15" customHeight="1">
      <c r="A43" s="931">
        <v>40</v>
      </c>
      <c r="B43" s="931" t="s">
        <v>9</v>
      </c>
      <c r="C43" s="932" t="s">
        <v>52</v>
      </c>
      <c r="D43" s="937" t="s">
        <v>54</v>
      </c>
      <c r="E43" s="934">
        <v>686</v>
      </c>
      <c r="F43" s="935">
        <v>3504.915</v>
      </c>
      <c r="G43" s="934">
        <f t="shared" si="0"/>
        <v>2818.915</v>
      </c>
      <c r="H43" s="936">
        <f t="shared" si="1"/>
        <v>0.19572514597358281</v>
      </c>
    </row>
    <row r="44" spans="1:8" ht="15" customHeight="1">
      <c r="A44" s="931">
        <v>41</v>
      </c>
      <c r="B44" s="931" t="s">
        <v>9</v>
      </c>
      <c r="C44" s="932" t="s">
        <v>52</v>
      </c>
      <c r="D44" s="937" t="s">
        <v>55</v>
      </c>
      <c r="E44" s="934">
        <v>1070</v>
      </c>
      <c r="F44" s="935">
        <v>4344.12</v>
      </c>
      <c r="G44" s="934">
        <f t="shared" si="0"/>
        <v>3274.12</v>
      </c>
      <c r="H44" s="936">
        <f t="shared" si="1"/>
        <v>0.24630995460530558</v>
      </c>
    </row>
    <row r="45" spans="1:8" ht="15" customHeight="1">
      <c r="A45" s="931">
        <v>42</v>
      </c>
      <c r="B45" s="931" t="s">
        <v>9</v>
      </c>
      <c r="C45" s="932" t="s">
        <v>56</v>
      </c>
      <c r="D45" s="937" t="s">
        <v>57</v>
      </c>
      <c r="E45" s="934">
        <v>1956</v>
      </c>
      <c r="F45" s="935">
        <v>3504.915</v>
      </c>
      <c r="G45" s="934">
        <f t="shared" si="0"/>
        <v>1548.915</v>
      </c>
      <c r="H45" s="936">
        <f t="shared" si="1"/>
        <v>0.5580734482861924</v>
      </c>
    </row>
    <row r="46" spans="1:8" ht="15" customHeight="1">
      <c r="A46" s="931">
        <v>43</v>
      </c>
      <c r="B46" s="931" t="s">
        <v>9</v>
      </c>
      <c r="C46" s="932" t="s">
        <v>56</v>
      </c>
      <c r="D46" s="937" t="s">
        <v>58</v>
      </c>
      <c r="E46" s="934">
        <v>776</v>
      </c>
      <c r="F46" s="935">
        <v>3504.915</v>
      </c>
      <c r="G46" s="934">
        <f t="shared" si="0"/>
        <v>2728.915</v>
      </c>
      <c r="H46" s="936">
        <f t="shared" si="1"/>
        <v>0.2214033721217205</v>
      </c>
    </row>
    <row r="47" spans="1:8" ht="15" customHeight="1">
      <c r="A47" s="931">
        <v>44</v>
      </c>
      <c r="B47" s="931" t="s">
        <v>9</v>
      </c>
      <c r="C47" s="932" t="s">
        <v>56</v>
      </c>
      <c r="D47" s="937" t="s">
        <v>59</v>
      </c>
      <c r="E47" s="934">
        <v>56</v>
      </c>
      <c r="F47" s="935">
        <v>7042.74</v>
      </c>
      <c r="G47" s="934">
        <f t="shared" si="0"/>
        <v>6986.74</v>
      </c>
      <c r="H47" s="936">
        <f t="shared" si="1"/>
        <v>0.007951450713784692</v>
      </c>
    </row>
    <row r="48" spans="1:8" ht="15" customHeight="1">
      <c r="A48" s="931">
        <v>45</v>
      </c>
      <c r="B48" s="931" t="s">
        <v>9</v>
      </c>
      <c r="C48" s="932" t="s">
        <v>56</v>
      </c>
      <c r="D48" s="937" t="s">
        <v>92</v>
      </c>
      <c r="E48" s="934">
        <v>5678</v>
      </c>
      <c r="F48" s="935">
        <v>7042.74</v>
      </c>
      <c r="G48" s="934">
        <f t="shared" si="0"/>
        <v>1364.7399999999998</v>
      </c>
      <c r="H48" s="936">
        <f t="shared" si="1"/>
        <v>0.8062203063012408</v>
      </c>
    </row>
    <row r="49" spans="1:8" ht="15" customHeight="1">
      <c r="A49" s="931">
        <v>46</v>
      </c>
      <c r="B49" s="931" t="s">
        <v>9</v>
      </c>
      <c r="C49" s="932" t="s">
        <v>56</v>
      </c>
      <c r="D49" s="937" t="s">
        <v>60</v>
      </c>
      <c r="E49" s="934">
        <v>736</v>
      </c>
      <c r="F49" s="935">
        <v>3504.915</v>
      </c>
      <c r="G49" s="934">
        <f t="shared" si="0"/>
        <v>2768.915</v>
      </c>
      <c r="H49" s="936">
        <f t="shared" si="1"/>
        <v>0.20999082716699263</v>
      </c>
    </row>
    <row r="50" spans="1:8" ht="15" customHeight="1">
      <c r="A50" s="931">
        <v>47</v>
      </c>
      <c r="B50" s="931" t="s">
        <v>9</v>
      </c>
      <c r="C50" s="932" t="s">
        <v>61</v>
      </c>
      <c r="D50" s="937" t="s">
        <v>62</v>
      </c>
      <c r="E50" s="934">
        <v>1456</v>
      </c>
      <c r="F50" s="935">
        <v>5298.51</v>
      </c>
      <c r="G50" s="934">
        <f t="shared" si="0"/>
        <v>3842.51</v>
      </c>
      <c r="H50" s="936">
        <f t="shared" si="1"/>
        <v>0.2747942346055778</v>
      </c>
    </row>
    <row r="51" spans="1:8" ht="15" customHeight="1">
      <c r="A51" s="931">
        <v>48</v>
      </c>
      <c r="B51" s="931" t="s">
        <v>9</v>
      </c>
      <c r="C51" s="932" t="s">
        <v>61</v>
      </c>
      <c r="D51" s="937" t="s">
        <v>63</v>
      </c>
      <c r="E51" s="934">
        <v>1356</v>
      </c>
      <c r="F51" s="935">
        <v>3504.915</v>
      </c>
      <c r="G51" s="934">
        <f t="shared" si="0"/>
        <v>2148.915</v>
      </c>
      <c r="H51" s="936">
        <f t="shared" si="1"/>
        <v>0.3868852739652745</v>
      </c>
    </row>
    <row r="52" spans="1:8" ht="15" customHeight="1">
      <c r="A52" s="931">
        <v>49</v>
      </c>
      <c r="B52" s="931" t="s">
        <v>9</v>
      </c>
      <c r="C52" s="932" t="s">
        <v>61</v>
      </c>
      <c r="D52" s="937" t="s">
        <v>64</v>
      </c>
      <c r="E52" s="934">
        <v>1356</v>
      </c>
      <c r="F52" s="935">
        <v>5298.51</v>
      </c>
      <c r="G52" s="934">
        <f t="shared" si="0"/>
        <v>3942.51</v>
      </c>
      <c r="H52" s="936">
        <f t="shared" si="1"/>
        <v>0.25592100420684305</v>
      </c>
    </row>
    <row r="53" spans="1:8" ht="15" customHeight="1">
      <c r="A53" s="931">
        <v>50</v>
      </c>
      <c r="B53" s="931" t="s">
        <v>9</v>
      </c>
      <c r="C53" s="932" t="s">
        <v>61</v>
      </c>
      <c r="D53" s="937" t="s">
        <v>65</v>
      </c>
      <c r="E53" s="934">
        <v>2067</v>
      </c>
      <c r="F53" s="935">
        <v>3504.915</v>
      </c>
      <c r="G53" s="934">
        <f t="shared" si="0"/>
        <v>1437.915</v>
      </c>
      <c r="H53" s="936">
        <f t="shared" si="1"/>
        <v>0.5897432605355623</v>
      </c>
    </row>
    <row r="54" spans="1:8" ht="15" customHeight="1">
      <c r="A54" s="931">
        <v>51</v>
      </c>
      <c r="B54" s="931" t="s">
        <v>9</v>
      </c>
      <c r="C54" s="932" t="s">
        <v>61</v>
      </c>
      <c r="D54" s="937" t="s">
        <v>66</v>
      </c>
      <c r="E54" s="934">
        <v>3009</v>
      </c>
      <c r="F54" s="935">
        <v>5298.51</v>
      </c>
      <c r="G54" s="934">
        <f t="shared" si="0"/>
        <v>2289.51</v>
      </c>
      <c r="H54" s="936">
        <f t="shared" si="1"/>
        <v>0.5678955026979282</v>
      </c>
    </row>
    <row r="55" spans="1:8" ht="15" customHeight="1">
      <c r="A55" s="931">
        <v>52</v>
      </c>
      <c r="B55" s="931" t="s">
        <v>9</v>
      </c>
      <c r="C55" s="932" t="s">
        <v>67</v>
      </c>
      <c r="D55" s="937" t="s">
        <v>68</v>
      </c>
      <c r="E55" s="934">
        <v>2156</v>
      </c>
      <c r="F55" s="935">
        <v>5298.51</v>
      </c>
      <c r="G55" s="934">
        <f t="shared" si="0"/>
        <v>3142.51</v>
      </c>
      <c r="H55" s="936">
        <f t="shared" si="1"/>
        <v>0.40690684739672095</v>
      </c>
    </row>
    <row r="56" spans="1:8" ht="15" customHeight="1">
      <c r="A56" s="931">
        <v>53</v>
      </c>
      <c r="B56" s="931" t="s">
        <v>9</v>
      </c>
      <c r="C56" s="932" t="s">
        <v>67</v>
      </c>
      <c r="D56" s="937" t="s">
        <v>69</v>
      </c>
      <c r="E56" s="934">
        <v>2656</v>
      </c>
      <c r="F56" s="935">
        <v>7042.74</v>
      </c>
      <c r="G56" s="934">
        <f t="shared" si="0"/>
        <v>4386.74</v>
      </c>
      <c r="H56" s="936">
        <f t="shared" si="1"/>
        <v>0.3771259481395025</v>
      </c>
    </row>
    <row r="57" spans="1:8" ht="15" customHeight="1">
      <c r="A57" s="931">
        <v>54</v>
      </c>
      <c r="B57" s="931" t="s">
        <v>9</v>
      </c>
      <c r="C57" s="932" t="s">
        <v>67</v>
      </c>
      <c r="D57" s="937" t="s">
        <v>70</v>
      </c>
      <c r="E57" s="934">
        <v>56</v>
      </c>
      <c r="F57" s="935">
        <v>6006.075</v>
      </c>
      <c r="G57" s="934">
        <f t="shared" si="0"/>
        <v>5950.075</v>
      </c>
      <c r="H57" s="936">
        <f t="shared" si="1"/>
        <v>0.009323892891780407</v>
      </c>
    </row>
    <row r="58" spans="1:8" ht="15" customHeight="1">
      <c r="A58" s="931">
        <v>55</v>
      </c>
      <c r="B58" s="931" t="s">
        <v>9</v>
      </c>
      <c r="C58" s="932" t="s">
        <v>67</v>
      </c>
      <c r="D58" s="937" t="s">
        <v>71</v>
      </c>
      <c r="E58" s="934">
        <v>1556</v>
      </c>
      <c r="F58" s="935">
        <v>4344.12</v>
      </c>
      <c r="G58" s="934">
        <f t="shared" si="0"/>
        <v>2788.12</v>
      </c>
      <c r="H58" s="936">
        <f t="shared" si="1"/>
        <v>0.3581853171643509</v>
      </c>
    </row>
    <row r="59" spans="1:8" ht="15" customHeight="1">
      <c r="A59" s="931">
        <v>56</v>
      </c>
      <c r="B59" s="931" t="s">
        <v>9</v>
      </c>
      <c r="C59" s="932" t="s">
        <v>67</v>
      </c>
      <c r="D59" s="937" t="s">
        <v>72</v>
      </c>
      <c r="E59" s="934">
        <v>1656</v>
      </c>
      <c r="F59" s="935">
        <v>4344.12</v>
      </c>
      <c r="G59" s="934">
        <f t="shared" si="0"/>
        <v>2688.12</v>
      </c>
      <c r="H59" s="936">
        <f t="shared" si="1"/>
        <v>0.3812049390900804</v>
      </c>
    </row>
    <row r="60" spans="1:8" ht="15" customHeight="1">
      <c r="A60" s="931">
        <v>57</v>
      </c>
      <c r="B60" s="931" t="s">
        <v>9</v>
      </c>
      <c r="C60" s="932" t="s">
        <v>67</v>
      </c>
      <c r="D60" s="937" t="s">
        <v>73</v>
      </c>
      <c r="E60" s="934">
        <v>856</v>
      </c>
      <c r="F60" s="935">
        <v>5298.51</v>
      </c>
      <c r="G60" s="934">
        <f t="shared" si="0"/>
        <v>4442.51</v>
      </c>
      <c r="H60" s="936">
        <f t="shared" si="1"/>
        <v>0.16155485221316937</v>
      </c>
    </row>
    <row r="61" spans="1:8" ht="15" customHeight="1">
      <c r="A61" s="931">
        <v>58</v>
      </c>
      <c r="B61" s="931" t="s">
        <v>9</v>
      </c>
      <c r="C61" s="932" t="s">
        <v>67</v>
      </c>
      <c r="D61" s="937" t="s">
        <v>74</v>
      </c>
      <c r="E61" s="934">
        <v>56</v>
      </c>
      <c r="F61" s="935">
        <v>5298.51</v>
      </c>
      <c r="G61" s="934">
        <f t="shared" si="0"/>
        <v>5242.51</v>
      </c>
      <c r="H61" s="936">
        <f t="shared" si="1"/>
        <v>0.010569009023291453</v>
      </c>
    </row>
    <row r="62" spans="1:8" ht="15" customHeight="1">
      <c r="A62" s="931">
        <v>59</v>
      </c>
      <c r="B62" s="931" t="s">
        <v>9</v>
      </c>
      <c r="C62" s="932" t="s">
        <v>67</v>
      </c>
      <c r="D62" s="937" t="s">
        <v>75</v>
      </c>
      <c r="E62" s="934">
        <v>2456</v>
      </c>
      <c r="F62" s="935">
        <v>7042.74</v>
      </c>
      <c r="G62" s="934">
        <f t="shared" si="0"/>
        <v>4586.74</v>
      </c>
      <c r="H62" s="936">
        <f t="shared" si="1"/>
        <v>0.3487279098759858</v>
      </c>
    </row>
    <row r="63" spans="1:8" ht="15" customHeight="1">
      <c r="A63" s="931">
        <v>60</v>
      </c>
      <c r="B63" s="931" t="s">
        <v>9</v>
      </c>
      <c r="C63" s="932" t="s">
        <v>76</v>
      </c>
      <c r="D63" s="937" t="s">
        <v>77</v>
      </c>
      <c r="E63" s="934">
        <v>1196</v>
      </c>
      <c r="F63" s="935">
        <v>3504.915</v>
      </c>
      <c r="G63" s="934">
        <f t="shared" si="0"/>
        <v>2308.915</v>
      </c>
      <c r="H63" s="936">
        <f t="shared" si="1"/>
        <v>0.34123509414636305</v>
      </c>
    </row>
    <row r="64" spans="1:8" ht="15" customHeight="1">
      <c r="A64" s="931">
        <v>61</v>
      </c>
      <c r="B64" s="931" t="s">
        <v>9</v>
      </c>
      <c r="C64" s="932" t="s">
        <v>76</v>
      </c>
      <c r="D64" s="937" t="s">
        <v>78</v>
      </c>
      <c r="E64" s="934">
        <v>1856</v>
      </c>
      <c r="F64" s="935">
        <v>4344.12</v>
      </c>
      <c r="G64" s="934">
        <f t="shared" si="0"/>
        <v>2488.12</v>
      </c>
      <c r="H64" s="936">
        <f t="shared" si="1"/>
        <v>0.4272441829415394</v>
      </c>
    </row>
    <row r="65" spans="1:8" ht="15" customHeight="1">
      <c r="A65" s="931">
        <v>62</v>
      </c>
      <c r="B65" s="931" t="s">
        <v>9</v>
      </c>
      <c r="C65" s="932" t="s">
        <v>76</v>
      </c>
      <c r="D65" s="937" t="s">
        <v>79</v>
      </c>
      <c r="E65" s="934">
        <v>856</v>
      </c>
      <c r="F65" s="935">
        <v>3504.915</v>
      </c>
      <c r="G65" s="934">
        <f t="shared" si="0"/>
        <v>2648.915</v>
      </c>
      <c r="H65" s="936">
        <f t="shared" si="1"/>
        <v>0.24422846203117624</v>
      </c>
    </row>
    <row r="66" spans="1:8" ht="15" customHeight="1">
      <c r="A66" s="931">
        <v>63</v>
      </c>
      <c r="B66" s="931" t="s">
        <v>9</v>
      </c>
      <c r="C66" s="932" t="s">
        <v>76</v>
      </c>
      <c r="D66" s="937" t="s">
        <v>80</v>
      </c>
      <c r="E66" s="934">
        <v>976</v>
      </c>
      <c r="F66" s="935">
        <v>4344.12</v>
      </c>
      <c r="G66" s="934">
        <f t="shared" si="0"/>
        <v>3368.12</v>
      </c>
      <c r="H66" s="936">
        <f t="shared" si="1"/>
        <v>0.22467150999511984</v>
      </c>
    </row>
    <row r="67" spans="1:8" ht="15" customHeight="1">
      <c r="A67" s="931">
        <v>64</v>
      </c>
      <c r="B67" s="931" t="s">
        <v>9</v>
      </c>
      <c r="C67" s="932" t="s">
        <v>76</v>
      </c>
      <c r="D67" s="937" t="s">
        <v>93</v>
      </c>
      <c r="E67" s="934">
        <v>1187</v>
      </c>
      <c r="F67" s="935">
        <v>4344.12</v>
      </c>
      <c r="G67" s="934">
        <f t="shared" si="0"/>
        <v>3157.12</v>
      </c>
      <c r="H67" s="936">
        <f t="shared" si="1"/>
        <v>0.2732429122584091</v>
      </c>
    </row>
    <row r="68" spans="1:8" ht="15" customHeight="1">
      <c r="A68" s="931">
        <v>65</v>
      </c>
      <c r="B68" s="931" t="s">
        <v>9</v>
      </c>
      <c r="C68" s="932" t="s">
        <v>76</v>
      </c>
      <c r="D68" s="937" t="s">
        <v>94</v>
      </c>
      <c r="E68" s="934">
        <v>745</v>
      </c>
      <c r="F68" s="935">
        <v>4344.12</v>
      </c>
      <c r="G68" s="934">
        <f aca="true" t="shared" si="2" ref="G68:G74">F68-E68</f>
        <v>3599.12</v>
      </c>
      <c r="H68" s="936">
        <f aca="true" t="shared" si="3" ref="H68:H74">E68/F68</f>
        <v>0.1714961833466847</v>
      </c>
    </row>
    <row r="69" spans="1:8" ht="15" customHeight="1">
      <c r="A69" s="931">
        <v>66</v>
      </c>
      <c r="B69" s="931" t="s">
        <v>9</v>
      </c>
      <c r="C69" s="932" t="s">
        <v>81</v>
      </c>
      <c r="D69" s="933" t="s">
        <v>82</v>
      </c>
      <c r="E69" s="934">
        <v>1077</v>
      </c>
      <c r="F69" s="935">
        <v>7042.74</v>
      </c>
      <c r="G69" s="934">
        <f t="shared" si="2"/>
        <v>5965.74</v>
      </c>
      <c r="H69" s="936">
        <f t="shared" si="3"/>
        <v>0.15292343604903774</v>
      </c>
    </row>
    <row r="70" spans="1:8" ht="15" customHeight="1">
      <c r="A70" s="931">
        <v>67</v>
      </c>
      <c r="B70" s="931" t="s">
        <v>9</v>
      </c>
      <c r="C70" s="932" t="s">
        <v>81</v>
      </c>
      <c r="D70" s="933" t="s">
        <v>83</v>
      </c>
      <c r="E70" s="934">
        <v>2506</v>
      </c>
      <c r="F70" s="935">
        <v>7042.74</v>
      </c>
      <c r="G70" s="934">
        <f t="shared" si="2"/>
        <v>4536.74</v>
      </c>
      <c r="H70" s="936">
        <f t="shared" si="3"/>
        <v>0.35582741944186497</v>
      </c>
    </row>
    <row r="71" spans="1:8" ht="15" customHeight="1">
      <c r="A71" s="931">
        <v>68</v>
      </c>
      <c r="B71" s="931" t="s">
        <v>9</v>
      </c>
      <c r="C71" s="932" t="s">
        <v>81</v>
      </c>
      <c r="D71" s="933" t="s">
        <v>84</v>
      </c>
      <c r="E71" s="934">
        <v>2203</v>
      </c>
      <c r="F71" s="935">
        <v>4344.12</v>
      </c>
      <c r="G71" s="934">
        <f t="shared" si="2"/>
        <v>2141.12</v>
      </c>
      <c r="H71" s="936">
        <f t="shared" si="3"/>
        <v>0.5071222710238207</v>
      </c>
    </row>
    <row r="72" spans="1:8" ht="15" customHeight="1">
      <c r="A72" s="931">
        <v>69</v>
      </c>
      <c r="B72" s="931" t="s">
        <v>9</v>
      </c>
      <c r="C72" s="932" t="s">
        <v>81</v>
      </c>
      <c r="D72" s="933" t="s">
        <v>85</v>
      </c>
      <c r="E72" s="934">
        <v>1260</v>
      </c>
      <c r="F72" s="935">
        <v>4344.12</v>
      </c>
      <c r="G72" s="934">
        <f t="shared" si="2"/>
        <v>3084.12</v>
      </c>
      <c r="H72" s="936">
        <f t="shared" si="3"/>
        <v>0.2900472362641916</v>
      </c>
    </row>
    <row r="73" spans="1:8" ht="15" customHeight="1">
      <c r="A73" s="931">
        <v>70</v>
      </c>
      <c r="B73" s="931" t="s">
        <v>9</v>
      </c>
      <c r="C73" s="932" t="s">
        <v>81</v>
      </c>
      <c r="D73" s="933" t="s">
        <v>86</v>
      </c>
      <c r="E73" s="934">
        <v>1303</v>
      </c>
      <c r="F73" s="935">
        <v>4344.12</v>
      </c>
      <c r="G73" s="934">
        <f t="shared" si="2"/>
        <v>3041.12</v>
      </c>
      <c r="H73" s="936">
        <f t="shared" si="3"/>
        <v>0.2999456736922553</v>
      </c>
    </row>
    <row r="74" spans="1:8" ht="15" customHeight="1">
      <c r="A74" s="931">
        <v>71</v>
      </c>
      <c r="B74" s="931" t="s">
        <v>9</v>
      </c>
      <c r="C74" s="932" t="s">
        <v>81</v>
      </c>
      <c r="D74" s="933" t="s">
        <v>87</v>
      </c>
      <c r="E74" s="934">
        <v>1531</v>
      </c>
      <c r="F74" s="935">
        <v>7042.74</v>
      </c>
      <c r="G74" s="934">
        <f t="shared" si="2"/>
        <v>5511.74</v>
      </c>
      <c r="H74" s="936">
        <f t="shared" si="3"/>
        <v>0.21738698290722078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506944444444445" right="0.4722222222222222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7"/>
  <sheetViews>
    <sheetView zoomScale="85" zoomScaleNormal="85" workbookViewId="0" topLeftCell="A1">
      <pane xSplit="5" ySplit="6" topLeftCell="F16" activePane="bottomRight" state="frozen"/>
      <selection pane="bottomRight" activeCell="AG6" sqref="AG6"/>
    </sheetView>
  </sheetViews>
  <sheetFormatPr defaultColWidth="9.00390625" defaultRowHeight="14.25"/>
  <cols>
    <col min="1" max="1" width="3.125" style="294" customWidth="1"/>
    <col min="2" max="2" width="7.875" style="294" customWidth="1"/>
    <col min="3" max="3" width="2.25390625" style="294" customWidth="1"/>
    <col min="4" max="4" width="5.00390625" style="294" customWidth="1"/>
    <col min="5" max="5" width="2.50390625" style="294" customWidth="1"/>
    <col min="6" max="6" width="8.50390625" style="294" customWidth="1"/>
    <col min="7" max="7" width="8.375" style="294" customWidth="1"/>
    <col min="8" max="8" width="10.00390625" style="294" customWidth="1"/>
    <col min="9" max="9" width="8.375" style="294" customWidth="1"/>
    <col min="10" max="10" width="4.25390625" style="294" customWidth="1"/>
    <col min="11" max="11" width="6.125" style="294" customWidth="1"/>
    <col min="12" max="12" width="4.50390625" style="294" customWidth="1"/>
    <col min="13" max="13" width="8.50390625" style="294" customWidth="1"/>
    <col min="14" max="15" width="4.75390625" style="294" customWidth="1"/>
    <col min="16" max="16" width="5.25390625" style="294" customWidth="1"/>
    <col min="17" max="17" width="3.75390625" style="294" customWidth="1"/>
    <col min="18" max="18" width="4.00390625" style="294" customWidth="1"/>
    <col min="19" max="19" width="3.625" style="294" customWidth="1"/>
    <col min="20" max="20" width="6.00390625" style="294" customWidth="1"/>
    <col min="21" max="21" width="5.75390625" style="294" customWidth="1"/>
    <col min="22" max="22" width="5.375" style="294" customWidth="1"/>
    <col min="23" max="23" width="5.625" style="294" customWidth="1"/>
    <col min="24" max="24" width="5.875" style="294" customWidth="1"/>
    <col min="25" max="25" width="6.375" style="294" customWidth="1"/>
    <col min="26" max="26" width="4.50390625" style="294" customWidth="1"/>
    <col min="27" max="27" width="6.50390625" style="294" customWidth="1"/>
    <col min="28" max="28" width="4.875" style="294" customWidth="1"/>
    <col min="29" max="29" width="8.875" style="294" customWidth="1"/>
    <col min="30" max="30" width="7.125" style="294" customWidth="1"/>
    <col min="31" max="31" width="5.625" style="294" customWidth="1"/>
    <col min="32" max="32" width="4.375" style="294" customWidth="1"/>
    <col min="33" max="35" width="4.75390625" style="294" customWidth="1"/>
    <col min="36" max="36" width="5.50390625" style="294" customWidth="1"/>
    <col min="37" max="37" width="5.25390625" style="294" customWidth="1"/>
    <col min="38" max="38" width="4.375" style="294" customWidth="1"/>
    <col min="39" max="16384" width="9.00390625" style="294" customWidth="1"/>
  </cols>
  <sheetData>
    <row r="1" spans="1:30" ht="20.25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28" ht="15.75">
      <c r="A2" s="294" t="s">
        <v>98</v>
      </c>
      <c r="E2" s="294" t="s">
        <v>99</v>
      </c>
      <c r="V2" s="294" t="s">
        <v>100</v>
      </c>
      <c r="AB2" s="294" t="s">
        <v>101</v>
      </c>
    </row>
    <row r="3" spans="1:30" s="620" customFormat="1" ht="15.75">
      <c r="A3" s="882" t="s">
        <v>102</v>
      </c>
      <c r="B3" s="334" t="s">
        <v>103</v>
      </c>
      <c r="C3" s="334" t="s">
        <v>104</v>
      </c>
      <c r="D3" s="334"/>
      <c r="E3" s="334"/>
      <c r="F3" s="883" t="s">
        <v>105</v>
      </c>
      <c r="G3" s="334"/>
      <c r="H3" s="334"/>
      <c r="I3" s="334" t="s">
        <v>106</v>
      </c>
      <c r="J3" s="334"/>
      <c r="K3" s="334"/>
      <c r="L3" s="334"/>
      <c r="M3" s="334"/>
      <c r="N3" s="334"/>
      <c r="O3" s="882" t="s">
        <v>107</v>
      </c>
      <c r="P3" s="882" t="s">
        <v>108</v>
      </c>
      <c r="Q3" s="913" t="s">
        <v>109</v>
      </c>
      <c r="R3" s="914"/>
      <c r="S3" s="914"/>
      <c r="T3" s="883"/>
      <c r="U3" s="334" t="s">
        <v>110</v>
      </c>
      <c r="V3" s="334"/>
      <c r="W3" s="386" t="s">
        <v>111</v>
      </c>
      <c r="X3" s="407"/>
      <c r="Y3" s="363"/>
      <c r="Z3" s="882" t="s">
        <v>112</v>
      </c>
      <c r="AA3" s="334" t="s">
        <v>113</v>
      </c>
      <c r="AB3" s="334"/>
      <c r="AC3" s="882" t="s">
        <v>114</v>
      </c>
      <c r="AD3" s="882" t="s">
        <v>115</v>
      </c>
    </row>
    <row r="4" spans="1:30" s="620" customFormat="1" ht="15.75" customHeight="1">
      <c r="A4" s="884"/>
      <c r="B4" s="334"/>
      <c r="C4" s="334" t="s">
        <v>116</v>
      </c>
      <c r="D4" s="334" t="s">
        <v>117</v>
      </c>
      <c r="E4" s="334" t="s">
        <v>118</v>
      </c>
      <c r="F4" s="885" t="s">
        <v>119</v>
      </c>
      <c r="G4" s="886"/>
      <c r="H4" s="886"/>
      <c r="I4" s="334" t="s">
        <v>120</v>
      </c>
      <c r="J4" s="334"/>
      <c r="K4" s="334" t="s">
        <v>121</v>
      </c>
      <c r="L4" s="334"/>
      <c r="M4" s="334" t="s">
        <v>122</v>
      </c>
      <c r="N4" s="334"/>
      <c r="O4" s="884"/>
      <c r="P4" s="904" t="s">
        <v>123</v>
      </c>
      <c r="Q4" s="882"/>
      <c r="R4" s="882"/>
      <c r="S4" s="882"/>
      <c r="T4" s="882"/>
      <c r="U4" s="334" t="s">
        <v>124</v>
      </c>
      <c r="V4" s="334"/>
      <c r="W4" s="361" t="s">
        <v>125</v>
      </c>
      <c r="X4" s="361" t="s">
        <v>126</v>
      </c>
      <c r="Y4" s="361" t="s">
        <v>126</v>
      </c>
      <c r="Z4" s="884" t="s">
        <v>127</v>
      </c>
      <c r="AA4" s="334" t="s">
        <v>128</v>
      </c>
      <c r="AB4" s="334"/>
      <c r="AC4" s="547" t="s">
        <v>129</v>
      </c>
      <c r="AD4" s="547" t="s">
        <v>130</v>
      </c>
    </row>
    <row r="5" spans="1:30" s="620" customFormat="1" ht="15.75" customHeight="1">
      <c r="A5" s="884"/>
      <c r="B5" s="334"/>
      <c r="C5" s="334"/>
      <c r="D5" s="334"/>
      <c r="E5" s="334"/>
      <c r="F5" s="885"/>
      <c r="G5" s="886"/>
      <c r="H5" s="886"/>
      <c r="I5" s="334"/>
      <c r="J5" s="334"/>
      <c r="K5" s="334"/>
      <c r="L5" s="334"/>
      <c r="M5" s="334"/>
      <c r="N5" s="334"/>
      <c r="O5" s="547" t="s">
        <v>131</v>
      </c>
      <c r="P5" s="905" t="s">
        <v>132</v>
      </c>
      <c r="Q5" s="884"/>
      <c r="R5" s="884" t="s">
        <v>133</v>
      </c>
      <c r="S5" s="884"/>
      <c r="T5" s="884"/>
      <c r="U5" s="334"/>
      <c r="V5" s="334"/>
      <c r="W5" s="364"/>
      <c r="X5" s="364"/>
      <c r="Y5" s="364"/>
      <c r="Z5" s="547" t="s">
        <v>134</v>
      </c>
      <c r="AA5" s="334"/>
      <c r="AB5" s="334"/>
      <c r="AC5" s="882" t="s">
        <v>135</v>
      </c>
      <c r="AD5" s="916" t="s">
        <v>136</v>
      </c>
    </row>
    <row r="6" spans="1:30" s="620" customFormat="1" ht="15.75">
      <c r="A6" s="547" t="s">
        <v>137</v>
      </c>
      <c r="B6" s="334"/>
      <c r="C6" s="334"/>
      <c r="D6" s="334"/>
      <c r="E6" s="334"/>
      <c r="F6" s="883" t="s">
        <v>120</v>
      </c>
      <c r="G6" s="334" t="s">
        <v>121</v>
      </c>
      <c r="H6" s="334" t="s">
        <v>122</v>
      </c>
      <c r="I6" s="334" t="s">
        <v>138</v>
      </c>
      <c r="J6" s="334" t="s">
        <v>139</v>
      </c>
      <c r="K6" s="334" t="s">
        <v>138</v>
      </c>
      <c r="L6" s="334" t="s">
        <v>139</v>
      </c>
      <c r="M6" s="334" t="s">
        <v>138</v>
      </c>
      <c r="N6" s="334" t="s">
        <v>139</v>
      </c>
      <c r="O6" s="334" t="s">
        <v>128</v>
      </c>
      <c r="P6" s="334" t="s">
        <v>128</v>
      </c>
      <c r="Q6" s="915" t="s">
        <v>140</v>
      </c>
      <c r="R6" s="547" t="s">
        <v>141</v>
      </c>
      <c r="S6" s="547" t="s">
        <v>142</v>
      </c>
      <c r="T6" s="547" t="s">
        <v>122</v>
      </c>
      <c r="U6" s="334" t="s">
        <v>138</v>
      </c>
      <c r="V6" s="334" t="s">
        <v>139</v>
      </c>
      <c r="W6" s="367"/>
      <c r="X6" s="367" t="s">
        <v>143</v>
      </c>
      <c r="Y6" s="367" t="s">
        <v>144</v>
      </c>
      <c r="Z6" s="334" t="s">
        <v>145</v>
      </c>
      <c r="AA6" s="886" t="s">
        <v>146</v>
      </c>
      <c r="AB6" s="886" t="s">
        <v>147</v>
      </c>
      <c r="AC6" s="547" t="s">
        <v>148</v>
      </c>
      <c r="AD6" s="915"/>
    </row>
    <row r="7" spans="1:30" ht="19.5" customHeight="1">
      <c r="A7" s="887">
        <v>1</v>
      </c>
      <c r="B7" s="887" t="s">
        <v>149</v>
      </c>
      <c r="C7" s="888" t="s">
        <v>150</v>
      </c>
      <c r="D7" s="887"/>
      <c r="E7" s="887"/>
      <c r="F7" s="889">
        <v>10.15</v>
      </c>
      <c r="G7" s="889">
        <v>2</v>
      </c>
      <c r="H7" s="890">
        <f aca="true" t="shared" si="0" ref="H7:H27">F7+G7</f>
        <v>12.15</v>
      </c>
      <c r="I7" s="906">
        <v>2605</v>
      </c>
      <c r="J7" s="906">
        <v>15</v>
      </c>
      <c r="K7" s="906">
        <v>4730</v>
      </c>
      <c r="L7" s="906">
        <v>27</v>
      </c>
      <c r="M7" s="907">
        <f>I7+K7</f>
        <v>7335</v>
      </c>
      <c r="N7" s="907">
        <f>J7+L7</f>
        <v>42</v>
      </c>
      <c r="O7" s="907">
        <v>135</v>
      </c>
      <c r="P7" s="907">
        <v>129</v>
      </c>
      <c r="Q7" s="907"/>
      <c r="R7" s="907">
        <v>3</v>
      </c>
      <c r="S7" s="907"/>
      <c r="T7" s="907">
        <v>3</v>
      </c>
      <c r="U7" s="907"/>
      <c r="V7" s="907"/>
      <c r="W7" s="509">
        <v>3099</v>
      </c>
      <c r="X7" s="509">
        <v>108</v>
      </c>
      <c r="Y7" s="509">
        <v>15</v>
      </c>
      <c r="Z7" s="509">
        <v>28</v>
      </c>
      <c r="AA7" s="509">
        <v>85</v>
      </c>
      <c r="AB7" s="509">
        <v>91</v>
      </c>
      <c r="AC7" s="917">
        <v>1220.4849</v>
      </c>
      <c r="AD7" s="918">
        <v>4.68</v>
      </c>
    </row>
    <row r="8" spans="1:30" ht="19.5" customHeight="1">
      <c r="A8" s="624">
        <v>2</v>
      </c>
      <c r="B8" s="624" t="s">
        <v>151</v>
      </c>
      <c r="C8" s="624"/>
      <c r="D8" s="891" t="s">
        <v>150</v>
      </c>
      <c r="E8" s="624"/>
      <c r="F8" s="892">
        <v>34.5</v>
      </c>
      <c r="G8" s="893">
        <v>2.09</v>
      </c>
      <c r="H8" s="890">
        <f t="shared" si="0"/>
        <v>36.59</v>
      </c>
      <c r="I8" s="908">
        <v>666.3</v>
      </c>
      <c r="J8" s="744">
        <v>18</v>
      </c>
      <c r="K8" s="908">
        <v>5035</v>
      </c>
      <c r="L8" s="744">
        <v>35</v>
      </c>
      <c r="M8" s="907">
        <f>I8+K8</f>
        <v>5701.3</v>
      </c>
      <c r="N8" s="907">
        <f>J8+L8</f>
        <v>53</v>
      </c>
      <c r="O8" s="744">
        <v>151</v>
      </c>
      <c r="P8" s="744">
        <v>144</v>
      </c>
      <c r="Q8" s="744"/>
      <c r="R8" s="744">
        <v>1</v>
      </c>
      <c r="S8" s="744"/>
      <c r="T8" s="907">
        <f aca="true" t="shared" si="1" ref="T8:T29">R8+S8</f>
        <v>1</v>
      </c>
      <c r="U8" s="744"/>
      <c r="V8" s="744"/>
      <c r="W8" s="910">
        <v>722</v>
      </c>
      <c r="X8" s="910">
        <v>76</v>
      </c>
      <c r="Y8" s="910"/>
      <c r="Z8" s="910">
        <v>5</v>
      </c>
      <c r="AA8" s="910">
        <v>58</v>
      </c>
      <c r="AB8" s="910">
        <v>36</v>
      </c>
      <c r="AC8" s="917">
        <v>482.7626</v>
      </c>
      <c r="AD8" s="918">
        <v>3.92</v>
      </c>
    </row>
    <row r="9" spans="1:30" ht="19.5" customHeight="1">
      <c r="A9" s="891">
        <v>3</v>
      </c>
      <c r="B9" s="624" t="s">
        <v>152</v>
      </c>
      <c r="C9" s="624"/>
      <c r="D9" s="891" t="s">
        <v>150</v>
      </c>
      <c r="E9" s="624"/>
      <c r="F9" s="894">
        <v>26.07</v>
      </c>
      <c r="G9" s="893">
        <v>0.22</v>
      </c>
      <c r="H9" s="890">
        <f t="shared" si="0"/>
        <v>26.29</v>
      </c>
      <c r="I9" s="744">
        <v>750</v>
      </c>
      <c r="J9" s="744">
        <v>18</v>
      </c>
      <c r="K9" s="906">
        <v>2010</v>
      </c>
      <c r="L9" s="906">
        <v>20</v>
      </c>
      <c r="M9" s="907">
        <f aca="true" t="shared" si="2" ref="M9:M30">I9+K9</f>
        <v>2760</v>
      </c>
      <c r="N9" s="907">
        <f aca="true" t="shared" si="3" ref="N9:N27">L9+J9</f>
        <v>38</v>
      </c>
      <c r="O9" s="744">
        <v>135</v>
      </c>
      <c r="P9" s="744">
        <v>126</v>
      </c>
      <c r="Q9" s="744"/>
      <c r="R9" s="744">
        <v>2</v>
      </c>
      <c r="S9" s="744"/>
      <c r="T9" s="907">
        <v>2</v>
      </c>
      <c r="U9" s="744"/>
      <c r="V9" s="744"/>
      <c r="W9" s="910">
        <v>1124</v>
      </c>
      <c r="X9" s="910">
        <v>116</v>
      </c>
      <c r="Y9" s="910"/>
      <c r="Z9" s="910"/>
      <c r="AA9" s="910">
        <v>51</v>
      </c>
      <c r="AB9" s="910">
        <v>42</v>
      </c>
      <c r="AC9" s="917">
        <v>394.4358</v>
      </c>
      <c r="AD9" s="918">
        <v>3.64</v>
      </c>
    </row>
    <row r="10" spans="1:30" ht="19.5" customHeight="1">
      <c r="A10" s="624">
        <v>4</v>
      </c>
      <c r="B10" s="624" t="s">
        <v>153</v>
      </c>
      <c r="C10" s="624"/>
      <c r="D10" s="891" t="s">
        <v>150</v>
      </c>
      <c r="E10" s="624"/>
      <c r="F10" s="893">
        <v>1.7</v>
      </c>
      <c r="G10" s="893">
        <v>0.84</v>
      </c>
      <c r="H10" s="890">
        <f t="shared" si="0"/>
        <v>2.54</v>
      </c>
      <c r="I10" s="744">
        <v>190</v>
      </c>
      <c r="J10" s="909">
        <v>3</v>
      </c>
      <c r="K10" s="744"/>
      <c r="L10" s="908"/>
      <c r="M10" s="907">
        <f t="shared" si="2"/>
        <v>190</v>
      </c>
      <c r="N10" s="907">
        <f t="shared" si="3"/>
        <v>3</v>
      </c>
      <c r="O10" s="907">
        <v>162</v>
      </c>
      <c r="P10" s="907">
        <v>174</v>
      </c>
      <c r="Q10" s="907"/>
      <c r="R10" s="907">
        <v>5</v>
      </c>
      <c r="S10" s="907"/>
      <c r="T10" s="907">
        <f t="shared" si="1"/>
        <v>5</v>
      </c>
      <c r="U10" s="744"/>
      <c r="V10" s="744"/>
      <c r="W10" s="910">
        <v>238</v>
      </c>
      <c r="X10" s="910">
        <v>64</v>
      </c>
      <c r="Y10" s="910"/>
      <c r="Z10" s="509">
        <v>2</v>
      </c>
      <c r="AA10" s="509">
        <v>11</v>
      </c>
      <c r="AB10" s="509"/>
      <c r="AC10" s="917">
        <v>158.63</v>
      </c>
      <c r="AD10" s="918">
        <v>3.17</v>
      </c>
    </row>
    <row r="11" spans="1:30" ht="19.5" customHeight="1">
      <c r="A11" s="891">
        <v>5</v>
      </c>
      <c r="B11" s="624" t="s">
        <v>154</v>
      </c>
      <c r="C11" s="624"/>
      <c r="D11" s="624"/>
      <c r="E11" s="891" t="s">
        <v>150</v>
      </c>
      <c r="F11" s="893"/>
      <c r="G11" s="893">
        <v>6.53</v>
      </c>
      <c r="H11" s="895">
        <f t="shared" si="0"/>
        <v>6.53</v>
      </c>
      <c r="I11" s="744"/>
      <c r="J11" s="744"/>
      <c r="K11" s="744">
        <v>1250</v>
      </c>
      <c r="L11" s="744">
        <v>2</v>
      </c>
      <c r="M11" s="907">
        <f t="shared" si="2"/>
        <v>1250</v>
      </c>
      <c r="N11" s="907">
        <f t="shared" si="3"/>
        <v>2</v>
      </c>
      <c r="O11" s="744">
        <v>6</v>
      </c>
      <c r="P11" s="744">
        <v>6</v>
      </c>
      <c r="Q11" s="744"/>
      <c r="R11" s="744"/>
      <c r="S11" s="744"/>
      <c r="T11" s="907">
        <f t="shared" si="1"/>
        <v>0</v>
      </c>
      <c r="U11" s="744"/>
      <c r="V11" s="744"/>
      <c r="W11" s="910"/>
      <c r="X11" s="910"/>
      <c r="Y11" s="910"/>
      <c r="Z11" s="910"/>
      <c r="AA11" s="910">
        <v>13</v>
      </c>
      <c r="AB11" s="910">
        <v>6</v>
      </c>
      <c r="AC11" s="917">
        <v>508.2991</v>
      </c>
      <c r="AD11" s="918">
        <v>0</v>
      </c>
    </row>
    <row r="12" spans="1:30" ht="19.5" customHeight="1">
      <c r="A12" s="624">
        <v>6</v>
      </c>
      <c r="B12" s="624" t="s">
        <v>155</v>
      </c>
      <c r="C12" s="624"/>
      <c r="D12" s="891" t="s">
        <v>150</v>
      </c>
      <c r="E12" s="624"/>
      <c r="F12" s="893">
        <v>17.16</v>
      </c>
      <c r="G12" s="893">
        <v>0.17</v>
      </c>
      <c r="H12" s="890">
        <v>17.33</v>
      </c>
      <c r="I12" s="744">
        <v>430</v>
      </c>
      <c r="J12" s="909">
        <v>14</v>
      </c>
      <c r="K12" s="744">
        <v>503</v>
      </c>
      <c r="L12" s="744">
        <v>8</v>
      </c>
      <c r="M12" s="907">
        <v>933</v>
      </c>
      <c r="N12" s="907">
        <v>22</v>
      </c>
      <c r="O12" s="907">
        <v>96</v>
      </c>
      <c r="P12" s="907">
        <v>96</v>
      </c>
      <c r="Q12" s="907"/>
      <c r="R12" s="907"/>
      <c r="S12" s="907"/>
      <c r="T12" s="907">
        <f t="shared" si="1"/>
        <v>0</v>
      </c>
      <c r="U12" s="744"/>
      <c r="V12" s="744"/>
      <c r="W12" s="910">
        <v>1163</v>
      </c>
      <c r="X12" s="910">
        <v>70</v>
      </c>
      <c r="Y12" s="910"/>
      <c r="Z12" s="509"/>
      <c r="AA12" s="509"/>
      <c r="AB12" s="509"/>
      <c r="AC12" s="917">
        <v>250.49450000000002</v>
      </c>
      <c r="AD12" s="918">
        <v>2.79</v>
      </c>
    </row>
    <row r="13" spans="1:30" ht="19.5" customHeight="1">
      <c r="A13" s="891">
        <v>7</v>
      </c>
      <c r="B13" s="624" t="s">
        <v>156</v>
      </c>
      <c r="C13" s="624"/>
      <c r="D13" s="891" t="s">
        <v>150</v>
      </c>
      <c r="E13" s="624"/>
      <c r="F13" s="893">
        <v>23.73</v>
      </c>
      <c r="G13" s="893"/>
      <c r="H13" s="890">
        <f>F13+G13</f>
        <v>23.73</v>
      </c>
      <c r="I13" s="744">
        <v>300</v>
      </c>
      <c r="J13" s="909">
        <v>8</v>
      </c>
      <c r="K13" s="744">
        <v>1050</v>
      </c>
      <c r="L13" s="744">
        <v>2</v>
      </c>
      <c r="M13" s="907">
        <f t="shared" si="2"/>
        <v>1350</v>
      </c>
      <c r="N13" s="907">
        <f t="shared" si="3"/>
        <v>10</v>
      </c>
      <c r="O13" s="907">
        <v>63</v>
      </c>
      <c r="P13" s="907">
        <v>63</v>
      </c>
      <c r="Q13" s="907"/>
      <c r="R13" s="907"/>
      <c r="S13" s="907"/>
      <c r="T13" s="907">
        <f t="shared" si="1"/>
        <v>0</v>
      </c>
      <c r="U13" s="744"/>
      <c r="V13" s="744"/>
      <c r="W13" s="910">
        <v>885</v>
      </c>
      <c r="X13" s="910">
        <v>58</v>
      </c>
      <c r="Y13" s="910"/>
      <c r="Z13" s="509"/>
      <c r="AA13" s="509">
        <v>6</v>
      </c>
      <c r="AB13" s="509"/>
      <c r="AC13" s="917">
        <v>108.8556</v>
      </c>
      <c r="AD13" s="918">
        <v>3.58</v>
      </c>
    </row>
    <row r="14" spans="1:30" ht="19.5" customHeight="1">
      <c r="A14" s="624">
        <v>8</v>
      </c>
      <c r="B14" s="624" t="s">
        <v>157</v>
      </c>
      <c r="C14" s="624"/>
      <c r="D14" s="891"/>
      <c r="E14" s="891" t="s">
        <v>150</v>
      </c>
      <c r="F14" s="893"/>
      <c r="G14" s="893">
        <v>17.69</v>
      </c>
      <c r="H14" s="890">
        <f t="shared" si="0"/>
        <v>17.69</v>
      </c>
      <c r="I14" s="744"/>
      <c r="J14" s="909"/>
      <c r="K14" s="744">
        <v>780</v>
      </c>
      <c r="L14" s="744">
        <v>9</v>
      </c>
      <c r="M14" s="907">
        <f t="shared" si="2"/>
        <v>780</v>
      </c>
      <c r="N14" s="907">
        <f t="shared" si="3"/>
        <v>9</v>
      </c>
      <c r="O14" s="907">
        <v>42</v>
      </c>
      <c r="P14" s="907">
        <v>48</v>
      </c>
      <c r="Q14" s="907"/>
      <c r="R14" s="907">
        <v>2</v>
      </c>
      <c r="S14" s="907"/>
      <c r="T14" s="907">
        <f t="shared" si="1"/>
        <v>2</v>
      </c>
      <c r="U14" s="744">
        <v>500</v>
      </c>
      <c r="V14" s="744">
        <v>1</v>
      </c>
      <c r="W14" s="910"/>
      <c r="X14" s="910"/>
      <c r="Y14" s="910"/>
      <c r="Z14" s="509"/>
      <c r="AA14" s="509"/>
      <c r="AB14" s="509"/>
      <c r="AC14" s="917">
        <v>776.6258</v>
      </c>
      <c r="AD14" s="496">
        <v>0</v>
      </c>
    </row>
    <row r="15" spans="1:30" ht="19.5" customHeight="1">
      <c r="A15" s="891">
        <v>9</v>
      </c>
      <c r="B15" s="624" t="s">
        <v>158</v>
      </c>
      <c r="C15" s="624"/>
      <c r="D15" s="891"/>
      <c r="E15" s="891" t="s">
        <v>150</v>
      </c>
      <c r="F15" s="893"/>
      <c r="G15" s="893">
        <v>22.92</v>
      </c>
      <c r="H15" s="890">
        <f t="shared" si="0"/>
        <v>22.92</v>
      </c>
      <c r="I15" s="744"/>
      <c r="J15" s="909"/>
      <c r="K15" s="744">
        <v>1140</v>
      </c>
      <c r="L15" s="744">
        <v>13</v>
      </c>
      <c r="M15" s="907">
        <f t="shared" si="2"/>
        <v>1140</v>
      </c>
      <c r="N15" s="907">
        <f t="shared" si="3"/>
        <v>13</v>
      </c>
      <c r="O15" s="907">
        <v>48</v>
      </c>
      <c r="P15" s="907">
        <v>52</v>
      </c>
      <c r="Q15" s="907"/>
      <c r="R15" s="907">
        <v>1</v>
      </c>
      <c r="S15" s="907"/>
      <c r="T15" s="907">
        <f t="shared" si="1"/>
        <v>1</v>
      </c>
      <c r="U15" s="744">
        <v>1000</v>
      </c>
      <c r="V15" s="744">
        <v>2</v>
      </c>
      <c r="W15" s="910"/>
      <c r="X15" s="910"/>
      <c r="Y15" s="910"/>
      <c r="Z15" s="509"/>
      <c r="AA15" s="509"/>
      <c r="AB15" s="509"/>
      <c r="AC15" s="917">
        <v>950.6167</v>
      </c>
      <c r="AD15" s="496">
        <v>0</v>
      </c>
    </row>
    <row r="16" spans="1:30" ht="19.5" customHeight="1">
      <c r="A16" s="624">
        <v>10</v>
      </c>
      <c r="B16" s="624" t="s">
        <v>159</v>
      </c>
      <c r="C16" s="624"/>
      <c r="D16" s="891" t="s">
        <v>150</v>
      </c>
      <c r="E16" s="624"/>
      <c r="F16" s="896">
        <f>22.505-10.168</f>
        <v>12.337</v>
      </c>
      <c r="G16" s="897">
        <v>0.25</v>
      </c>
      <c r="H16" s="898">
        <f t="shared" si="0"/>
        <v>12.587</v>
      </c>
      <c r="I16" s="910">
        <v>390</v>
      </c>
      <c r="J16" s="910">
        <v>13</v>
      </c>
      <c r="K16" s="910">
        <v>50</v>
      </c>
      <c r="L16" s="910">
        <v>1</v>
      </c>
      <c r="M16" s="907">
        <f t="shared" si="2"/>
        <v>440</v>
      </c>
      <c r="N16" s="907">
        <f t="shared" si="3"/>
        <v>14</v>
      </c>
      <c r="O16" s="910">
        <v>132</v>
      </c>
      <c r="P16" s="910">
        <v>132</v>
      </c>
      <c r="Q16" s="910"/>
      <c r="R16" s="910">
        <v>1</v>
      </c>
      <c r="S16" s="910"/>
      <c r="T16" s="907">
        <f t="shared" si="1"/>
        <v>1</v>
      </c>
      <c r="U16" s="910">
        <v>500</v>
      </c>
      <c r="V16" s="910">
        <v>2</v>
      </c>
      <c r="W16" s="910">
        <v>320</v>
      </c>
      <c r="X16" s="910">
        <v>159</v>
      </c>
      <c r="Y16" s="910"/>
      <c r="Z16" s="910">
        <v>6</v>
      </c>
      <c r="AA16" s="910">
        <v>6</v>
      </c>
      <c r="AB16" s="910"/>
      <c r="AC16" s="917">
        <v>676.6273</v>
      </c>
      <c r="AD16" s="496">
        <v>3.46</v>
      </c>
    </row>
    <row r="17" spans="1:30" ht="19.5" customHeight="1">
      <c r="A17" s="891">
        <v>11</v>
      </c>
      <c r="B17" s="624" t="s">
        <v>160</v>
      </c>
      <c r="C17" s="624"/>
      <c r="D17" s="891" t="s">
        <v>150</v>
      </c>
      <c r="E17" s="624"/>
      <c r="F17" s="893">
        <v>34.777</v>
      </c>
      <c r="G17" s="899">
        <v>5.86</v>
      </c>
      <c r="H17" s="898">
        <f t="shared" si="0"/>
        <v>40.637</v>
      </c>
      <c r="I17" s="910">
        <v>770</v>
      </c>
      <c r="J17" s="910">
        <v>25</v>
      </c>
      <c r="K17" s="910">
        <v>1160</v>
      </c>
      <c r="L17" s="910">
        <v>24</v>
      </c>
      <c r="M17" s="907">
        <f t="shared" si="2"/>
        <v>1930</v>
      </c>
      <c r="N17" s="907">
        <f t="shared" si="3"/>
        <v>49</v>
      </c>
      <c r="O17" s="910">
        <v>126</v>
      </c>
      <c r="P17" s="910">
        <v>126</v>
      </c>
      <c r="Q17" s="910"/>
      <c r="R17" s="509">
        <v>1</v>
      </c>
      <c r="S17" s="509"/>
      <c r="T17" s="907">
        <f t="shared" si="1"/>
        <v>1</v>
      </c>
      <c r="U17" s="910">
        <v>100</v>
      </c>
      <c r="V17" s="910">
        <v>1</v>
      </c>
      <c r="W17" s="910">
        <v>516</v>
      </c>
      <c r="X17" s="910">
        <v>154</v>
      </c>
      <c r="Y17" s="910"/>
      <c r="Z17" s="509">
        <v>5</v>
      </c>
      <c r="AA17" s="509">
        <v>3</v>
      </c>
      <c r="AB17" s="509"/>
      <c r="AC17" s="917">
        <v>215.69310000000002</v>
      </c>
      <c r="AD17" s="919">
        <v>3.26</v>
      </c>
    </row>
    <row r="18" spans="1:30" ht="19.5" customHeight="1">
      <c r="A18" s="624">
        <v>12</v>
      </c>
      <c r="B18" s="624" t="s">
        <v>161</v>
      </c>
      <c r="C18" s="624"/>
      <c r="D18" s="891" t="s">
        <v>150</v>
      </c>
      <c r="E18" s="624"/>
      <c r="F18" s="896">
        <v>21.68</v>
      </c>
      <c r="G18" s="897">
        <v>10.68</v>
      </c>
      <c r="H18" s="898">
        <f t="shared" si="0"/>
        <v>32.36</v>
      </c>
      <c r="I18" s="910">
        <v>400</v>
      </c>
      <c r="J18" s="910">
        <v>16</v>
      </c>
      <c r="K18" s="910">
        <v>1620</v>
      </c>
      <c r="L18" s="910">
        <v>55</v>
      </c>
      <c r="M18" s="907">
        <f t="shared" si="2"/>
        <v>2020</v>
      </c>
      <c r="N18" s="907">
        <f t="shared" si="3"/>
        <v>71</v>
      </c>
      <c r="O18" s="910">
        <v>351</v>
      </c>
      <c r="P18" s="910">
        <v>351</v>
      </c>
      <c r="Q18" s="910"/>
      <c r="R18" s="910">
        <v>3</v>
      </c>
      <c r="S18" s="910"/>
      <c r="T18" s="907">
        <f t="shared" si="1"/>
        <v>3</v>
      </c>
      <c r="U18" s="910">
        <v>2100</v>
      </c>
      <c r="V18" s="910">
        <v>12</v>
      </c>
      <c r="W18" s="910">
        <v>386</v>
      </c>
      <c r="X18" s="910">
        <v>68</v>
      </c>
      <c r="Y18" s="910"/>
      <c r="Z18" s="910">
        <v>8</v>
      </c>
      <c r="AA18" s="910">
        <v>8</v>
      </c>
      <c r="AB18" s="910"/>
      <c r="AC18" s="917">
        <v>1703.2857999999999</v>
      </c>
      <c r="AD18" s="496">
        <v>3.26</v>
      </c>
    </row>
    <row r="19" spans="1:30" ht="19.5" customHeight="1">
      <c r="A19" s="891">
        <v>13</v>
      </c>
      <c r="B19" s="624" t="s">
        <v>162</v>
      </c>
      <c r="C19" s="624"/>
      <c r="D19" s="891"/>
      <c r="E19" s="891" t="s">
        <v>150</v>
      </c>
      <c r="F19" s="896">
        <v>6.33</v>
      </c>
      <c r="G19" s="897">
        <v>21.168</v>
      </c>
      <c r="H19" s="898">
        <f t="shared" si="0"/>
        <v>27.497999999999998</v>
      </c>
      <c r="I19" s="910"/>
      <c r="J19" s="910"/>
      <c r="K19" s="910">
        <v>3770</v>
      </c>
      <c r="L19" s="910">
        <v>63</v>
      </c>
      <c r="M19" s="907">
        <f t="shared" si="2"/>
        <v>3770</v>
      </c>
      <c r="N19" s="907">
        <f t="shared" si="3"/>
        <v>63</v>
      </c>
      <c r="O19" s="910">
        <v>201</v>
      </c>
      <c r="P19" s="910">
        <v>204</v>
      </c>
      <c r="Q19" s="910"/>
      <c r="R19" s="910">
        <v>1</v>
      </c>
      <c r="S19" s="910"/>
      <c r="T19" s="907">
        <f t="shared" si="1"/>
        <v>1</v>
      </c>
      <c r="U19" s="910">
        <v>1100</v>
      </c>
      <c r="V19" s="910">
        <v>4</v>
      </c>
      <c r="W19" s="910"/>
      <c r="X19" s="910"/>
      <c r="Y19" s="910"/>
      <c r="Z19" s="910"/>
      <c r="AA19" s="910"/>
      <c r="AB19" s="910"/>
      <c r="AC19" s="496"/>
      <c r="AD19" s="496"/>
    </row>
    <row r="20" spans="1:30" ht="19.5" customHeight="1">
      <c r="A20" s="624">
        <v>14</v>
      </c>
      <c r="B20" s="624" t="s">
        <v>163</v>
      </c>
      <c r="C20" s="624"/>
      <c r="D20" s="891" t="s">
        <v>150</v>
      </c>
      <c r="E20" s="624"/>
      <c r="F20" s="893">
        <v>161.221</v>
      </c>
      <c r="G20" s="893">
        <v>27.445</v>
      </c>
      <c r="H20" s="890">
        <f t="shared" si="0"/>
        <v>188.666</v>
      </c>
      <c r="I20" s="744">
        <v>3020</v>
      </c>
      <c r="J20" s="744">
        <v>61</v>
      </c>
      <c r="K20" s="744">
        <v>7665</v>
      </c>
      <c r="L20" s="744">
        <v>53</v>
      </c>
      <c r="M20" s="907">
        <v>10685</v>
      </c>
      <c r="N20" s="907">
        <v>114</v>
      </c>
      <c r="O20" s="744">
        <v>969</v>
      </c>
      <c r="P20" s="744">
        <v>975</v>
      </c>
      <c r="Q20" s="744"/>
      <c r="R20" s="744">
        <v>1</v>
      </c>
      <c r="S20" s="744"/>
      <c r="T20" s="907">
        <v>1</v>
      </c>
      <c r="U20" s="744">
        <v>900</v>
      </c>
      <c r="V20" s="744">
        <v>4</v>
      </c>
      <c r="W20" s="910">
        <v>1089</v>
      </c>
      <c r="X20" s="910">
        <v>116</v>
      </c>
      <c r="Y20" s="910">
        <v>32</v>
      </c>
      <c r="Z20" s="910">
        <v>26</v>
      </c>
      <c r="AA20" s="910">
        <v>129</v>
      </c>
      <c r="AB20" s="910">
        <v>18</v>
      </c>
      <c r="AC20" s="496">
        <v>2652.2361</v>
      </c>
      <c r="AD20" s="496">
        <v>3.55</v>
      </c>
    </row>
    <row r="21" spans="1:30" ht="19.5" customHeight="1">
      <c r="A21" s="891">
        <v>15</v>
      </c>
      <c r="B21" s="624" t="s">
        <v>164</v>
      </c>
      <c r="C21" s="624"/>
      <c r="D21" s="891" t="s">
        <v>150</v>
      </c>
      <c r="E21" s="624"/>
      <c r="F21" s="893">
        <v>12.892</v>
      </c>
      <c r="G21" s="893">
        <v>32.03</v>
      </c>
      <c r="H21" s="890">
        <f t="shared" si="0"/>
        <v>44.922</v>
      </c>
      <c r="I21" s="744">
        <v>450</v>
      </c>
      <c r="J21" s="744">
        <v>18</v>
      </c>
      <c r="K21" s="744">
        <v>4990</v>
      </c>
      <c r="L21" s="744">
        <v>70</v>
      </c>
      <c r="M21" s="907">
        <f t="shared" si="2"/>
        <v>5440</v>
      </c>
      <c r="N21" s="907">
        <f t="shared" si="3"/>
        <v>88</v>
      </c>
      <c r="O21" s="744">
        <v>261</v>
      </c>
      <c r="P21" s="744">
        <v>261</v>
      </c>
      <c r="Q21" s="744"/>
      <c r="R21" s="744">
        <v>2</v>
      </c>
      <c r="S21" s="744"/>
      <c r="T21" s="907">
        <f t="shared" si="1"/>
        <v>2</v>
      </c>
      <c r="U21" s="744">
        <v>900</v>
      </c>
      <c r="V21" s="744">
        <v>4</v>
      </c>
      <c r="W21" s="910">
        <v>2145</v>
      </c>
      <c r="X21" s="910">
        <v>259</v>
      </c>
      <c r="Y21" s="910">
        <v>16</v>
      </c>
      <c r="Z21" s="910">
        <v>11</v>
      </c>
      <c r="AA21" s="910">
        <v>54</v>
      </c>
      <c r="AB21" s="910">
        <v>15</v>
      </c>
      <c r="AC21" s="920">
        <v>1000.0098</v>
      </c>
      <c r="AD21" s="496">
        <v>3.6</v>
      </c>
    </row>
    <row r="22" spans="1:30" ht="19.5" customHeight="1">
      <c r="A22" s="624">
        <v>16</v>
      </c>
      <c r="B22" s="624" t="s">
        <v>165</v>
      </c>
      <c r="C22" s="624"/>
      <c r="D22" s="891"/>
      <c r="E22" s="891" t="s">
        <v>150</v>
      </c>
      <c r="F22" s="893"/>
      <c r="G22" s="893">
        <v>59.281</v>
      </c>
      <c r="H22" s="890">
        <f t="shared" si="0"/>
        <v>59.281</v>
      </c>
      <c r="I22" s="744"/>
      <c r="J22" s="744"/>
      <c r="K22" s="744">
        <v>6070</v>
      </c>
      <c r="L22" s="744">
        <v>120</v>
      </c>
      <c r="M22" s="907">
        <f t="shared" si="2"/>
        <v>6070</v>
      </c>
      <c r="N22" s="907">
        <f t="shared" si="3"/>
        <v>120</v>
      </c>
      <c r="O22" s="907">
        <v>276</v>
      </c>
      <c r="P22" s="907">
        <v>276</v>
      </c>
      <c r="Q22" s="744"/>
      <c r="R22" s="907">
        <v>2</v>
      </c>
      <c r="S22" s="907"/>
      <c r="T22" s="907">
        <f t="shared" si="1"/>
        <v>2</v>
      </c>
      <c r="U22" s="744">
        <v>1150</v>
      </c>
      <c r="V22" s="744">
        <v>5</v>
      </c>
      <c r="W22" s="910"/>
      <c r="X22" s="910"/>
      <c r="Y22" s="910"/>
      <c r="Z22" s="910"/>
      <c r="AA22" s="509"/>
      <c r="AB22" s="509"/>
      <c r="AC22" s="920">
        <v>230.2721</v>
      </c>
      <c r="AD22" s="919">
        <v>0</v>
      </c>
    </row>
    <row r="23" spans="1:30" ht="19.5" customHeight="1">
      <c r="A23" s="891">
        <v>17</v>
      </c>
      <c r="B23" s="624" t="s">
        <v>166</v>
      </c>
      <c r="C23" s="624"/>
      <c r="D23" s="624"/>
      <c r="E23" s="891" t="s">
        <v>150</v>
      </c>
      <c r="F23" s="893">
        <v>15.22</v>
      </c>
      <c r="G23" s="893">
        <v>30.63</v>
      </c>
      <c r="H23" s="890">
        <f t="shared" si="0"/>
        <v>45.85</v>
      </c>
      <c r="I23" s="744">
        <v>380</v>
      </c>
      <c r="J23" s="744">
        <v>12</v>
      </c>
      <c r="K23" s="744">
        <v>3830</v>
      </c>
      <c r="L23" s="744">
        <v>79</v>
      </c>
      <c r="M23" s="907">
        <f t="shared" si="2"/>
        <v>4210</v>
      </c>
      <c r="N23" s="907">
        <f t="shared" si="3"/>
        <v>91</v>
      </c>
      <c r="O23" s="744">
        <v>204</v>
      </c>
      <c r="P23" s="744">
        <v>204</v>
      </c>
      <c r="Q23" s="744"/>
      <c r="R23" s="744">
        <v>1</v>
      </c>
      <c r="S23" s="744"/>
      <c r="T23" s="907">
        <f t="shared" si="1"/>
        <v>1</v>
      </c>
      <c r="U23" s="744">
        <v>900</v>
      </c>
      <c r="V23" s="744">
        <v>4</v>
      </c>
      <c r="W23" s="910"/>
      <c r="X23" s="910">
        <v>2</v>
      </c>
      <c r="Y23" s="910">
        <v>1</v>
      </c>
      <c r="Z23" s="910">
        <v>8</v>
      </c>
      <c r="AA23" s="910">
        <v>25</v>
      </c>
      <c r="AB23" s="910">
        <v>3</v>
      </c>
      <c r="AC23" s="920">
        <v>1094.1662000000001</v>
      </c>
      <c r="AD23" s="496">
        <v>3.43</v>
      </c>
    </row>
    <row r="24" spans="1:30" ht="19.5" customHeight="1">
      <c r="A24" s="624">
        <v>18</v>
      </c>
      <c r="B24" s="624" t="s">
        <v>167</v>
      </c>
      <c r="C24" s="624"/>
      <c r="D24" s="624"/>
      <c r="E24" s="891" t="s">
        <v>150</v>
      </c>
      <c r="F24" s="893">
        <v>5.68</v>
      </c>
      <c r="G24" s="893">
        <v>79.662</v>
      </c>
      <c r="H24" s="890">
        <v>85.342</v>
      </c>
      <c r="I24" s="744"/>
      <c r="J24" s="744"/>
      <c r="K24" s="744">
        <v>5450</v>
      </c>
      <c r="L24" s="744">
        <v>157</v>
      </c>
      <c r="M24" s="744">
        <v>5450</v>
      </c>
      <c r="N24" s="744">
        <v>157</v>
      </c>
      <c r="O24" s="744"/>
      <c r="P24" s="744"/>
      <c r="Q24" s="744"/>
      <c r="R24" s="744">
        <v>1</v>
      </c>
      <c r="S24" s="744"/>
      <c r="T24" s="907">
        <f t="shared" si="1"/>
        <v>1</v>
      </c>
      <c r="U24" s="744">
        <v>2300</v>
      </c>
      <c r="V24" s="744">
        <v>7</v>
      </c>
      <c r="W24" s="910"/>
      <c r="X24" s="910"/>
      <c r="Y24" s="910"/>
      <c r="Z24" s="910"/>
      <c r="AA24" s="910"/>
      <c r="AB24" s="910"/>
      <c r="AC24" s="920">
        <v>1236.5341</v>
      </c>
      <c r="AD24" s="496">
        <v>0</v>
      </c>
    </row>
    <row r="25" spans="1:30" ht="19.5" customHeight="1">
      <c r="A25" s="891">
        <v>19</v>
      </c>
      <c r="B25" s="624" t="s">
        <v>168</v>
      </c>
      <c r="C25" s="624"/>
      <c r="D25" s="624"/>
      <c r="E25" s="891" t="s">
        <v>150</v>
      </c>
      <c r="F25" s="893">
        <v>5.38</v>
      </c>
      <c r="G25" s="893">
        <v>44.318</v>
      </c>
      <c r="H25" s="890">
        <v>49.698</v>
      </c>
      <c r="I25" s="744"/>
      <c r="J25" s="744"/>
      <c r="K25" s="744">
        <v>3020</v>
      </c>
      <c r="L25" s="744">
        <v>87</v>
      </c>
      <c r="M25" s="744">
        <v>3020</v>
      </c>
      <c r="N25" s="744">
        <v>87</v>
      </c>
      <c r="O25" s="744"/>
      <c r="P25" s="744"/>
      <c r="Q25" s="744"/>
      <c r="R25" s="744">
        <v>1</v>
      </c>
      <c r="S25" s="744"/>
      <c r="T25" s="907">
        <v>1</v>
      </c>
      <c r="U25" s="744">
        <v>1650</v>
      </c>
      <c r="V25" s="744">
        <v>5</v>
      </c>
      <c r="W25" s="910"/>
      <c r="X25" s="910"/>
      <c r="Y25" s="910"/>
      <c r="Z25" s="910"/>
      <c r="AA25" s="910"/>
      <c r="AB25" s="910"/>
      <c r="AC25" s="920">
        <v>1054.4734</v>
      </c>
      <c r="AD25" s="496">
        <v>0</v>
      </c>
    </row>
    <row r="26" spans="1:30" ht="19.5" customHeight="1">
      <c r="A26" s="624">
        <v>20</v>
      </c>
      <c r="B26" s="624" t="s">
        <v>169</v>
      </c>
      <c r="C26" s="624"/>
      <c r="D26" s="891" t="s">
        <v>150</v>
      </c>
      <c r="E26" s="624"/>
      <c r="F26" s="893">
        <v>35.502</v>
      </c>
      <c r="G26" s="899">
        <v>0.8</v>
      </c>
      <c r="H26" s="898">
        <f t="shared" si="0"/>
        <v>36.302</v>
      </c>
      <c r="I26" s="910">
        <v>580</v>
      </c>
      <c r="J26" s="910">
        <v>16</v>
      </c>
      <c r="K26" s="910">
        <v>300</v>
      </c>
      <c r="L26" s="910">
        <v>6</v>
      </c>
      <c r="M26" s="907">
        <f t="shared" si="2"/>
        <v>880</v>
      </c>
      <c r="N26" s="907">
        <f t="shared" si="3"/>
        <v>22</v>
      </c>
      <c r="O26" s="910">
        <v>71</v>
      </c>
      <c r="P26" s="910">
        <v>72</v>
      </c>
      <c r="Q26" s="910"/>
      <c r="R26" s="910">
        <v>1</v>
      </c>
      <c r="S26" s="910"/>
      <c r="T26" s="907">
        <f t="shared" si="1"/>
        <v>1</v>
      </c>
      <c r="U26" s="910"/>
      <c r="V26" s="910"/>
      <c r="W26" s="910">
        <v>1142</v>
      </c>
      <c r="X26" s="910">
        <v>46</v>
      </c>
      <c r="Y26" s="910">
        <v>1</v>
      </c>
      <c r="Z26" s="910">
        <v>6</v>
      </c>
      <c r="AA26" s="910">
        <v>18</v>
      </c>
      <c r="AB26" s="910"/>
      <c r="AC26" s="920">
        <v>322.01070000000004</v>
      </c>
      <c r="AD26" s="918">
        <v>0.14</v>
      </c>
    </row>
    <row r="27" spans="1:30" ht="19.5" customHeight="1">
      <c r="A27" s="891">
        <v>21</v>
      </c>
      <c r="B27" s="624" t="s">
        <v>170</v>
      </c>
      <c r="C27" s="624"/>
      <c r="D27" s="891" t="s">
        <v>150</v>
      </c>
      <c r="E27" s="624"/>
      <c r="F27" s="893">
        <v>46.169</v>
      </c>
      <c r="G27" s="899">
        <v>3.47</v>
      </c>
      <c r="H27" s="898">
        <f t="shared" si="0"/>
        <v>49.638999999999996</v>
      </c>
      <c r="I27" s="910">
        <v>620</v>
      </c>
      <c r="J27" s="910">
        <v>14</v>
      </c>
      <c r="K27" s="910">
        <v>3030</v>
      </c>
      <c r="L27" s="910">
        <v>45</v>
      </c>
      <c r="M27" s="907">
        <f t="shared" si="2"/>
        <v>3650</v>
      </c>
      <c r="N27" s="907">
        <f t="shared" si="3"/>
        <v>59</v>
      </c>
      <c r="O27" s="509">
        <v>174</v>
      </c>
      <c r="P27" s="509">
        <v>174</v>
      </c>
      <c r="Q27" s="509"/>
      <c r="R27" s="509">
        <v>1</v>
      </c>
      <c r="S27" s="509"/>
      <c r="T27" s="907">
        <f t="shared" si="1"/>
        <v>1</v>
      </c>
      <c r="U27" s="910">
        <v>500</v>
      </c>
      <c r="V27" s="910">
        <v>2</v>
      </c>
      <c r="W27" s="910">
        <v>1362</v>
      </c>
      <c r="X27" s="910">
        <v>70</v>
      </c>
      <c r="Y27" s="910">
        <v>2</v>
      </c>
      <c r="Z27" s="910">
        <v>12</v>
      </c>
      <c r="AA27" s="509">
        <v>11</v>
      </c>
      <c r="AB27" s="509"/>
      <c r="AC27" s="920">
        <v>607.7586</v>
      </c>
      <c r="AD27" s="918">
        <v>3.3</v>
      </c>
    </row>
    <row r="28" spans="1:30" ht="19.5" customHeight="1">
      <c r="A28" s="624">
        <v>22</v>
      </c>
      <c r="B28" s="624" t="s">
        <v>171</v>
      </c>
      <c r="C28" s="624"/>
      <c r="D28" s="891"/>
      <c r="E28" s="891" t="s">
        <v>150</v>
      </c>
      <c r="F28" s="893"/>
      <c r="G28" s="899">
        <v>19.349</v>
      </c>
      <c r="H28" s="898">
        <v>19.349</v>
      </c>
      <c r="I28" s="910"/>
      <c r="J28" s="910"/>
      <c r="K28" s="910">
        <v>980</v>
      </c>
      <c r="L28" s="910">
        <v>21</v>
      </c>
      <c r="M28" s="907">
        <v>980</v>
      </c>
      <c r="N28" s="907">
        <v>21</v>
      </c>
      <c r="O28" s="509">
        <v>66</v>
      </c>
      <c r="P28" s="509">
        <v>75</v>
      </c>
      <c r="Q28" s="509"/>
      <c r="R28" s="509">
        <v>1</v>
      </c>
      <c r="S28" s="509"/>
      <c r="T28" s="907">
        <f t="shared" si="1"/>
        <v>1</v>
      </c>
      <c r="U28" s="910">
        <v>350</v>
      </c>
      <c r="V28" s="910">
        <v>2</v>
      </c>
      <c r="W28" s="910"/>
      <c r="X28" s="910"/>
      <c r="Y28" s="910"/>
      <c r="Z28" s="910"/>
      <c r="AA28" s="509"/>
      <c r="AB28" s="509"/>
      <c r="AC28" s="496"/>
      <c r="AD28" s="919">
        <v>0</v>
      </c>
    </row>
    <row r="29" spans="1:30" ht="19.5" customHeight="1">
      <c r="A29" s="891">
        <v>23</v>
      </c>
      <c r="B29" s="624" t="s">
        <v>172</v>
      </c>
      <c r="C29" s="624"/>
      <c r="D29" s="891" t="s">
        <v>150</v>
      </c>
      <c r="E29" s="624"/>
      <c r="F29" s="893">
        <v>48.666</v>
      </c>
      <c r="G29" s="899">
        <v>12.83</v>
      </c>
      <c r="H29" s="898">
        <v>61.496</v>
      </c>
      <c r="I29" s="910">
        <v>790</v>
      </c>
      <c r="J29" s="910">
        <v>31</v>
      </c>
      <c r="K29" s="910">
        <v>1040</v>
      </c>
      <c r="L29" s="910">
        <v>21</v>
      </c>
      <c r="M29" s="907">
        <v>1830</v>
      </c>
      <c r="N29" s="907">
        <v>52</v>
      </c>
      <c r="O29" s="910">
        <v>135</v>
      </c>
      <c r="P29" s="910">
        <v>127</v>
      </c>
      <c r="Q29" s="910"/>
      <c r="R29" s="910">
        <v>1</v>
      </c>
      <c r="S29" s="910"/>
      <c r="T29" s="907">
        <f t="shared" si="1"/>
        <v>1</v>
      </c>
      <c r="U29" s="910"/>
      <c r="V29" s="910"/>
      <c r="W29" s="910">
        <v>1041</v>
      </c>
      <c r="X29" s="910">
        <v>102</v>
      </c>
      <c r="Y29" s="910"/>
      <c r="Z29" s="910">
        <v>4</v>
      </c>
      <c r="AA29" s="910">
        <v>12</v>
      </c>
      <c r="AB29" s="910"/>
      <c r="AC29" s="917">
        <v>706.2488000000001</v>
      </c>
      <c r="AD29" s="918">
        <v>0.26</v>
      </c>
    </row>
    <row r="30" spans="1:30" ht="19.5" customHeight="1">
      <c r="A30" s="624">
        <v>24</v>
      </c>
      <c r="B30" s="624" t="s">
        <v>173</v>
      </c>
      <c r="C30" s="891" t="s">
        <v>150</v>
      </c>
      <c r="D30" s="624"/>
      <c r="E30" s="624"/>
      <c r="F30" s="893">
        <v>9.47</v>
      </c>
      <c r="G30" s="635">
        <v>11.52</v>
      </c>
      <c r="H30" s="900">
        <f>F30+G30</f>
        <v>20.990000000000002</v>
      </c>
      <c r="I30" s="624">
        <v>950</v>
      </c>
      <c r="J30" s="624">
        <v>7</v>
      </c>
      <c r="K30" s="624">
        <v>4710</v>
      </c>
      <c r="L30" s="624">
        <v>21</v>
      </c>
      <c r="M30" s="624">
        <f t="shared" si="2"/>
        <v>5660</v>
      </c>
      <c r="N30" s="907">
        <v>28</v>
      </c>
      <c r="O30" s="624">
        <v>57</v>
      </c>
      <c r="P30" s="624">
        <v>57</v>
      </c>
      <c r="Q30" s="624"/>
      <c r="R30" s="624">
        <v>4</v>
      </c>
      <c r="S30" s="624"/>
      <c r="T30" s="907">
        <v>4</v>
      </c>
      <c r="U30" s="624"/>
      <c r="V30" s="624"/>
      <c r="W30" s="910">
        <v>1050</v>
      </c>
      <c r="X30" s="910">
        <v>144</v>
      </c>
      <c r="Y30" s="910">
        <v>7</v>
      </c>
      <c r="Z30" s="910">
        <v>13</v>
      </c>
      <c r="AA30" s="910">
        <v>99</v>
      </c>
      <c r="AB30" s="910"/>
      <c r="AC30" s="917">
        <v>901.3955000000001</v>
      </c>
      <c r="AD30" s="918">
        <v>4.87</v>
      </c>
    </row>
    <row r="31" spans="1:30" ht="19.5" customHeight="1">
      <c r="A31" s="891">
        <v>25</v>
      </c>
      <c r="B31" s="624" t="s">
        <v>174</v>
      </c>
      <c r="C31" s="624"/>
      <c r="D31" s="624"/>
      <c r="E31" s="624" t="s">
        <v>150</v>
      </c>
      <c r="F31" s="893"/>
      <c r="G31" s="635">
        <v>1.11</v>
      </c>
      <c r="H31" s="900">
        <f>F31+G31</f>
        <v>1.11</v>
      </c>
      <c r="I31" s="624"/>
      <c r="J31" s="624"/>
      <c r="K31" s="624">
        <v>400</v>
      </c>
      <c r="L31" s="624">
        <v>1</v>
      </c>
      <c r="M31" s="624">
        <v>400</v>
      </c>
      <c r="N31" s="624">
        <v>1</v>
      </c>
      <c r="O31" s="624">
        <v>3</v>
      </c>
      <c r="P31" s="624">
        <v>3</v>
      </c>
      <c r="Q31" s="624"/>
      <c r="R31" s="624"/>
      <c r="S31" s="624"/>
      <c r="T31" s="624"/>
      <c r="U31" s="624"/>
      <c r="V31" s="624"/>
      <c r="W31" s="910"/>
      <c r="X31" s="910"/>
      <c r="Y31" s="910"/>
      <c r="Z31" s="910"/>
      <c r="AA31" s="910"/>
      <c r="AB31" s="910"/>
      <c r="AC31" s="917">
        <v>70.53059999999999</v>
      </c>
      <c r="AD31" s="496">
        <v>0</v>
      </c>
    </row>
    <row r="32" spans="1:30" ht="19.5" customHeight="1">
      <c r="A32" s="901" t="s">
        <v>122</v>
      </c>
      <c r="B32" s="636"/>
      <c r="C32" s="624">
        <v>2</v>
      </c>
      <c r="D32" s="624">
        <v>13</v>
      </c>
      <c r="E32" s="624">
        <v>10</v>
      </c>
      <c r="F32" s="893">
        <f aca="true" t="shared" si="4" ref="F32:H32">SUM(F7:F31)</f>
        <v>528.634</v>
      </c>
      <c r="G32" s="635">
        <f t="shared" si="4"/>
        <v>412.863</v>
      </c>
      <c r="H32" s="890">
        <f t="shared" si="4"/>
        <v>941.4970000000001</v>
      </c>
      <c r="I32" s="911">
        <f aca="true" t="shared" si="5" ref="I32:R32">SUM(I7:I31)</f>
        <v>13291.3</v>
      </c>
      <c r="J32" s="624">
        <f t="shared" si="5"/>
        <v>289</v>
      </c>
      <c r="K32" s="624">
        <f t="shared" si="5"/>
        <v>64583</v>
      </c>
      <c r="L32" s="624">
        <f t="shared" si="5"/>
        <v>940</v>
      </c>
      <c r="M32" s="911">
        <f t="shared" si="5"/>
        <v>77874.3</v>
      </c>
      <c r="N32" s="624">
        <f t="shared" si="5"/>
        <v>1229</v>
      </c>
      <c r="O32" s="624">
        <f t="shared" si="5"/>
        <v>3864</v>
      </c>
      <c r="P32" s="624">
        <f t="shared" si="5"/>
        <v>3875</v>
      </c>
      <c r="Q32" s="624">
        <f t="shared" si="5"/>
        <v>0</v>
      </c>
      <c r="R32" s="624">
        <f t="shared" si="5"/>
        <v>36</v>
      </c>
      <c r="S32" s="624"/>
      <c r="T32" s="624">
        <f aca="true" t="shared" si="6" ref="T32:AC32">SUM(T7:T31)</f>
        <v>36</v>
      </c>
      <c r="U32" s="624">
        <f t="shared" si="6"/>
        <v>13950</v>
      </c>
      <c r="V32" s="624">
        <f t="shared" si="6"/>
        <v>55</v>
      </c>
      <c r="W32" s="910">
        <f t="shared" si="6"/>
        <v>16282</v>
      </c>
      <c r="X32" s="910">
        <f t="shared" si="6"/>
        <v>1612</v>
      </c>
      <c r="Y32" s="910">
        <f t="shared" si="6"/>
        <v>74</v>
      </c>
      <c r="Z32" s="910">
        <f t="shared" si="6"/>
        <v>134</v>
      </c>
      <c r="AA32" s="910">
        <f t="shared" si="6"/>
        <v>589</v>
      </c>
      <c r="AB32" s="910">
        <f t="shared" si="6"/>
        <v>211</v>
      </c>
      <c r="AC32" s="921">
        <f t="shared" si="6"/>
        <v>17322.447099999998</v>
      </c>
      <c r="AD32" s="921">
        <v>2.46</v>
      </c>
    </row>
    <row r="33" spans="1:30" ht="64.5" customHeight="1">
      <c r="A33" s="902" t="s">
        <v>175</v>
      </c>
      <c r="B33" s="903"/>
      <c r="C33" s="903"/>
      <c r="D33" s="903"/>
      <c r="E33" s="903"/>
      <c r="F33" s="903"/>
      <c r="G33" s="903"/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903"/>
      <c r="U33" s="903"/>
      <c r="V33" s="903"/>
      <c r="W33" s="903"/>
      <c r="X33" s="903"/>
      <c r="Y33" s="903"/>
      <c r="Z33" s="903"/>
      <c r="AA33" s="903"/>
      <c r="AB33" s="903"/>
      <c r="AC33" s="903"/>
      <c r="AD33" s="922"/>
    </row>
    <row r="34" spans="2:24" ht="21.75" customHeight="1">
      <c r="B34" s="294" t="s">
        <v>176</v>
      </c>
      <c r="K34" s="440" t="s">
        <v>177</v>
      </c>
      <c r="L34" s="440"/>
      <c r="M34" s="440"/>
      <c r="N34" s="440"/>
      <c r="O34" s="440"/>
      <c r="V34" s="440" t="s">
        <v>178</v>
      </c>
      <c r="W34" s="440"/>
      <c r="X34" s="440"/>
    </row>
    <row r="35" spans="4:5" ht="21.75" customHeight="1">
      <c r="D35" s="661"/>
      <c r="E35" s="661"/>
    </row>
    <row r="36" ht="25.5" customHeight="1"/>
    <row r="37" ht="25.5" customHeight="1">
      <c r="M37" s="912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24">
    <mergeCell ref="A1:AD1"/>
    <mergeCell ref="C3:E3"/>
    <mergeCell ref="F3:H3"/>
    <mergeCell ref="I3:N3"/>
    <mergeCell ref="Q3:T3"/>
    <mergeCell ref="U3:V3"/>
    <mergeCell ref="W3:Y3"/>
    <mergeCell ref="AA3:AB3"/>
    <mergeCell ref="A32:B32"/>
    <mergeCell ref="A33:AD33"/>
    <mergeCell ref="K34:O34"/>
    <mergeCell ref="V34:X34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43"/>
  <sheetViews>
    <sheetView workbookViewId="0" topLeftCell="A1">
      <pane xSplit="2" ySplit="6" topLeftCell="U25" activePane="bottomRight" state="frozen"/>
      <selection pane="bottomRight" activeCell="AG6" sqref="AG6"/>
    </sheetView>
  </sheetViews>
  <sheetFormatPr defaultColWidth="9.00390625" defaultRowHeight="14.25"/>
  <cols>
    <col min="1" max="1" width="3.125" style="447" customWidth="1"/>
    <col min="2" max="2" width="10.875" style="447" customWidth="1"/>
    <col min="3" max="3" width="2.625" style="447" customWidth="1"/>
    <col min="4" max="4" width="2.75390625" style="447" customWidth="1"/>
    <col min="5" max="5" width="3.00390625" style="447" customWidth="1"/>
    <col min="6" max="6" width="11.00390625" style="447" bestFit="1" customWidth="1"/>
    <col min="7" max="7" width="10.00390625" style="447" bestFit="1" customWidth="1"/>
    <col min="8" max="9" width="11.00390625" style="447" bestFit="1" customWidth="1"/>
    <col min="10" max="10" width="9.00390625" style="466" customWidth="1"/>
    <col min="11" max="11" width="12.625" style="447" customWidth="1"/>
    <col min="12" max="12" width="9.00390625" style="447" customWidth="1"/>
    <col min="13" max="13" width="12.125" style="447" bestFit="1" customWidth="1"/>
    <col min="14" max="14" width="5.50390625" style="447" bestFit="1" customWidth="1"/>
    <col min="15" max="15" width="5.625" style="447" customWidth="1"/>
    <col min="16" max="16" width="5.25390625" style="447" customWidth="1"/>
    <col min="17" max="17" width="3.75390625" style="447" customWidth="1"/>
    <col min="18" max="18" width="4.00390625" style="447" customWidth="1"/>
    <col min="19" max="19" width="3.625" style="447" customWidth="1"/>
    <col min="20" max="20" width="6.00390625" style="447" customWidth="1"/>
    <col min="21" max="21" width="6.875" style="447" customWidth="1"/>
    <col min="22" max="22" width="5.375" style="447" customWidth="1"/>
    <col min="23" max="23" width="6.75390625" style="466" customWidth="1"/>
    <col min="24" max="24" width="6.75390625" style="447" customWidth="1"/>
    <col min="25" max="25" width="6.375" style="466" customWidth="1"/>
    <col min="26" max="27" width="6.50390625" style="447" customWidth="1"/>
    <col min="28" max="28" width="5.875" style="447" customWidth="1"/>
    <col min="29" max="29" width="12.875" style="447" customWidth="1"/>
    <col min="30" max="30" width="9.125" style="447" customWidth="1"/>
    <col min="31" max="31" width="14.25390625" style="359" customWidth="1"/>
    <col min="32" max="32" width="12.625" style="359" customWidth="1"/>
    <col min="33" max="35" width="4.75390625" style="447" customWidth="1"/>
    <col min="36" max="36" width="5.50390625" style="447" customWidth="1"/>
    <col min="37" max="37" width="5.25390625" style="447" customWidth="1"/>
    <col min="38" max="38" width="4.375" style="447" customWidth="1"/>
    <col min="39" max="16384" width="9.00390625" style="447" customWidth="1"/>
  </cols>
  <sheetData>
    <row r="1" spans="1:30" ht="20.25">
      <c r="A1" s="465" t="s">
        <v>97</v>
      </c>
      <c r="B1" s="466"/>
      <c r="C1" s="466"/>
      <c r="D1" s="466"/>
      <c r="E1" s="466"/>
      <c r="F1" s="466"/>
      <c r="G1" s="466"/>
      <c r="H1" s="466"/>
      <c r="I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X1" s="466"/>
      <c r="Z1" s="466"/>
      <c r="AA1" s="466"/>
      <c r="AB1" s="466"/>
      <c r="AC1" s="466"/>
      <c r="AD1" s="466"/>
    </row>
    <row r="2" spans="1:28" ht="21" customHeight="1">
      <c r="A2" s="447" t="s">
        <v>98</v>
      </c>
      <c r="F2" s="447" t="s">
        <v>179</v>
      </c>
      <c r="V2" s="447" t="s">
        <v>180</v>
      </c>
      <c r="AB2" s="447" t="s">
        <v>101</v>
      </c>
    </row>
    <row r="3" spans="1:32" s="851" customFormat="1" ht="20.25" customHeight="1">
      <c r="A3" s="361" t="s">
        <v>102</v>
      </c>
      <c r="B3" s="362" t="s">
        <v>103</v>
      </c>
      <c r="C3" s="362" t="s">
        <v>104</v>
      </c>
      <c r="D3" s="362"/>
      <c r="E3" s="362"/>
      <c r="F3" s="363" t="s">
        <v>105</v>
      </c>
      <c r="G3" s="362"/>
      <c r="H3" s="362"/>
      <c r="I3" s="362" t="s">
        <v>106</v>
      </c>
      <c r="J3" s="362"/>
      <c r="K3" s="362"/>
      <c r="L3" s="362"/>
      <c r="M3" s="362"/>
      <c r="N3" s="362"/>
      <c r="O3" s="361" t="s">
        <v>107</v>
      </c>
      <c r="P3" s="361" t="s">
        <v>108</v>
      </c>
      <c r="Q3" s="386" t="s">
        <v>109</v>
      </c>
      <c r="R3" s="407"/>
      <c r="S3" s="407"/>
      <c r="T3" s="363"/>
      <c r="U3" s="362" t="s">
        <v>110</v>
      </c>
      <c r="V3" s="362"/>
      <c r="W3" s="386" t="s">
        <v>111</v>
      </c>
      <c r="X3" s="407"/>
      <c r="Y3" s="363"/>
      <c r="Z3" s="361" t="s">
        <v>112</v>
      </c>
      <c r="AA3" s="362" t="s">
        <v>113</v>
      </c>
      <c r="AB3" s="362"/>
      <c r="AC3" s="361" t="s">
        <v>114</v>
      </c>
      <c r="AD3" s="361" t="s">
        <v>115</v>
      </c>
      <c r="AE3" s="875"/>
      <c r="AF3" s="875"/>
    </row>
    <row r="4" spans="1:32" s="851" customFormat="1" ht="20.25" customHeight="1">
      <c r="A4" s="364"/>
      <c r="B4" s="362"/>
      <c r="C4" s="362" t="s">
        <v>116</v>
      </c>
      <c r="D4" s="362" t="s">
        <v>117</v>
      </c>
      <c r="E4" s="362" t="s">
        <v>118</v>
      </c>
      <c r="F4" s="365" t="s">
        <v>119</v>
      </c>
      <c r="G4" s="366"/>
      <c r="H4" s="366"/>
      <c r="I4" s="362" t="s">
        <v>120</v>
      </c>
      <c r="J4" s="362"/>
      <c r="K4" s="362" t="s">
        <v>121</v>
      </c>
      <c r="L4" s="362"/>
      <c r="M4" s="362" t="s">
        <v>122</v>
      </c>
      <c r="N4" s="362"/>
      <c r="O4" s="364"/>
      <c r="P4" s="400" t="s">
        <v>123</v>
      </c>
      <c r="Q4" s="361"/>
      <c r="R4" s="361"/>
      <c r="S4" s="361"/>
      <c r="T4" s="361"/>
      <c r="U4" s="362" t="s">
        <v>124</v>
      </c>
      <c r="V4" s="362"/>
      <c r="W4" s="361" t="s">
        <v>125</v>
      </c>
      <c r="X4" s="361" t="s">
        <v>126</v>
      </c>
      <c r="Y4" s="361" t="s">
        <v>126</v>
      </c>
      <c r="Z4" s="364" t="s">
        <v>127</v>
      </c>
      <c r="AA4" s="362" t="s">
        <v>128</v>
      </c>
      <c r="AB4" s="362"/>
      <c r="AC4" s="367" t="s">
        <v>129</v>
      </c>
      <c r="AD4" s="367" t="s">
        <v>130</v>
      </c>
      <c r="AE4" s="875"/>
      <c r="AF4" s="875"/>
    </row>
    <row r="5" spans="1:32" s="851" customFormat="1" ht="20.25" customHeight="1">
      <c r="A5" s="364"/>
      <c r="B5" s="362"/>
      <c r="C5" s="362"/>
      <c r="D5" s="362"/>
      <c r="E5" s="362"/>
      <c r="F5" s="365"/>
      <c r="G5" s="366"/>
      <c r="H5" s="366"/>
      <c r="I5" s="362"/>
      <c r="J5" s="362"/>
      <c r="K5" s="362"/>
      <c r="L5" s="362"/>
      <c r="M5" s="362"/>
      <c r="N5" s="362"/>
      <c r="O5" s="367" t="s">
        <v>131</v>
      </c>
      <c r="P5" s="396" t="s">
        <v>132</v>
      </c>
      <c r="Q5" s="364"/>
      <c r="R5" s="364" t="s">
        <v>133</v>
      </c>
      <c r="S5" s="364"/>
      <c r="T5" s="364"/>
      <c r="U5" s="362"/>
      <c r="V5" s="362"/>
      <c r="W5" s="364"/>
      <c r="X5" s="364"/>
      <c r="Y5" s="364"/>
      <c r="Z5" s="367" t="s">
        <v>134</v>
      </c>
      <c r="AA5" s="362"/>
      <c r="AB5" s="362"/>
      <c r="AC5" s="361" t="s">
        <v>135</v>
      </c>
      <c r="AD5" s="790" t="s">
        <v>136</v>
      </c>
      <c r="AE5" s="875"/>
      <c r="AF5" s="875"/>
    </row>
    <row r="6" spans="1:32" s="741" customFormat="1" ht="18" customHeight="1">
      <c r="A6" s="451" t="s">
        <v>137</v>
      </c>
      <c r="B6" s="362"/>
      <c r="C6" s="362"/>
      <c r="D6" s="362"/>
      <c r="E6" s="362"/>
      <c r="F6" s="746" t="s">
        <v>120</v>
      </c>
      <c r="G6" s="605" t="s">
        <v>121</v>
      </c>
      <c r="H6" s="605" t="s">
        <v>122</v>
      </c>
      <c r="I6" s="605" t="s">
        <v>138</v>
      </c>
      <c r="J6" s="605" t="s">
        <v>139</v>
      </c>
      <c r="K6" s="605" t="s">
        <v>138</v>
      </c>
      <c r="L6" s="605" t="s">
        <v>139</v>
      </c>
      <c r="M6" s="605" t="s">
        <v>138</v>
      </c>
      <c r="N6" s="605" t="s">
        <v>139</v>
      </c>
      <c r="O6" s="605" t="s">
        <v>128</v>
      </c>
      <c r="P6" s="605" t="s">
        <v>128</v>
      </c>
      <c r="Q6" s="791" t="s">
        <v>140</v>
      </c>
      <c r="R6" s="451" t="s">
        <v>141</v>
      </c>
      <c r="S6" s="451" t="s">
        <v>142</v>
      </c>
      <c r="T6" s="451" t="s">
        <v>122</v>
      </c>
      <c r="U6" s="605" t="s">
        <v>138</v>
      </c>
      <c r="V6" s="605" t="s">
        <v>139</v>
      </c>
      <c r="W6" s="451"/>
      <c r="X6" s="451" t="s">
        <v>143</v>
      </c>
      <c r="Y6" s="451" t="s">
        <v>144</v>
      </c>
      <c r="Z6" s="605" t="s">
        <v>145</v>
      </c>
      <c r="AA6" s="876" t="s">
        <v>146</v>
      </c>
      <c r="AB6" s="876" t="s">
        <v>147</v>
      </c>
      <c r="AC6" s="451" t="s">
        <v>148</v>
      </c>
      <c r="AD6" s="791"/>
      <c r="AE6" s="359" t="s">
        <v>181</v>
      </c>
      <c r="AF6" s="875"/>
    </row>
    <row r="7" spans="1:31" ht="21.75" customHeight="1">
      <c r="A7" s="743">
        <v>1</v>
      </c>
      <c r="B7" s="367" t="s">
        <v>182</v>
      </c>
      <c r="C7" s="367"/>
      <c r="D7" s="367" t="s">
        <v>150</v>
      </c>
      <c r="E7" s="367"/>
      <c r="F7" s="852">
        <v>151.85</v>
      </c>
      <c r="G7" s="852">
        <v>0.16</v>
      </c>
      <c r="H7" s="852">
        <f>SUM(F7:G7)</f>
        <v>152.01</v>
      </c>
      <c r="I7" s="864">
        <v>3236.3</v>
      </c>
      <c r="J7" s="865">
        <v>70</v>
      </c>
      <c r="K7" s="866">
        <v>3063.9</v>
      </c>
      <c r="L7" s="867">
        <v>39</v>
      </c>
      <c r="M7" s="868">
        <f>I7+K7</f>
        <v>6300.200000000001</v>
      </c>
      <c r="N7" s="743">
        <f>J7+L7</f>
        <v>109</v>
      </c>
      <c r="O7" s="743">
        <v>348</v>
      </c>
      <c r="P7" s="743">
        <v>327</v>
      </c>
      <c r="Q7" s="743"/>
      <c r="R7" s="743">
        <v>2</v>
      </c>
      <c r="S7" s="743"/>
      <c r="T7" s="548">
        <f aca="true" t="shared" si="0" ref="T7:T33">SUM(Q7:S7)</f>
        <v>2</v>
      </c>
      <c r="U7" s="743"/>
      <c r="V7" s="743"/>
      <c r="W7" s="451">
        <v>1</v>
      </c>
      <c r="X7" s="367">
        <v>70</v>
      </c>
      <c r="Y7" s="451">
        <v>1</v>
      </c>
      <c r="Z7" s="743"/>
      <c r="AA7" s="743">
        <v>9</v>
      </c>
      <c r="AB7" s="743"/>
      <c r="AC7" s="877">
        <v>558.49</v>
      </c>
      <c r="AD7" s="868">
        <v>10.11</v>
      </c>
      <c r="AE7" s="359">
        <v>7</v>
      </c>
    </row>
    <row r="8" spans="1:31" ht="21.75" customHeight="1">
      <c r="A8" s="548">
        <v>2</v>
      </c>
      <c r="B8" s="362" t="s">
        <v>183</v>
      </c>
      <c r="C8" s="362"/>
      <c r="D8" s="367" t="s">
        <v>150</v>
      </c>
      <c r="E8" s="362"/>
      <c r="F8" s="853">
        <v>106.12</v>
      </c>
      <c r="G8" s="853"/>
      <c r="H8" s="852">
        <f aca="true" t="shared" si="1" ref="H8:H33">SUM(F8:G8)</f>
        <v>106.12</v>
      </c>
      <c r="I8" s="864">
        <v>2355</v>
      </c>
      <c r="J8" s="865">
        <v>47</v>
      </c>
      <c r="K8" s="866">
        <v>2606.3</v>
      </c>
      <c r="L8" s="867">
        <v>26</v>
      </c>
      <c r="M8" s="868">
        <f aca="true" t="shared" si="2" ref="M8:N33">I8+K8</f>
        <v>4961.3</v>
      </c>
      <c r="N8" s="743">
        <f t="shared" si="2"/>
        <v>73</v>
      </c>
      <c r="O8" s="548">
        <v>237</v>
      </c>
      <c r="P8" s="548">
        <v>219</v>
      </c>
      <c r="Q8" s="548"/>
      <c r="R8" s="548">
        <v>3</v>
      </c>
      <c r="S8" s="548"/>
      <c r="T8" s="548">
        <f t="shared" si="0"/>
        <v>3</v>
      </c>
      <c r="U8" s="548"/>
      <c r="V8" s="548"/>
      <c r="W8" s="605"/>
      <c r="X8" s="367">
        <v>48</v>
      </c>
      <c r="Y8" s="605">
        <v>1</v>
      </c>
      <c r="Z8" s="548"/>
      <c r="AA8" s="548">
        <v>9</v>
      </c>
      <c r="AB8" s="548"/>
      <c r="AC8" s="756">
        <v>454.6</v>
      </c>
      <c r="AD8" s="871">
        <v>9.36</v>
      </c>
      <c r="AE8" s="359">
        <v>6</v>
      </c>
    </row>
    <row r="9" spans="1:31" ht="21.75" customHeight="1">
      <c r="A9" s="743">
        <v>3</v>
      </c>
      <c r="B9" s="475" t="s">
        <v>184</v>
      </c>
      <c r="C9" s="362"/>
      <c r="D9" s="367" t="s">
        <v>150</v>
      </c>
      <c r="E9" s="362"/>
      <c r="F9" s="853">
        <v>44.19</v>
      </c>
      <c r="G9" s="853">
        <v>2.63</v>
      </c>
      <c r="H9" s="852">
        <f t="shared" si="1"/>
        <v>46.82</v>
      </c>
      <c r="I9" s="568">
        <v>960</v>
      </c>
      <c r="J9" s="865">
        <v>31</v>
      </c>
      <c r="K9" s="864">
        <v>1561.3</v>
      </c>
      <c r="L9" s="867">
        <v>15</v>
      </c>
      <c r="M9" s="868">
        <f t="shared" si="2"/>
        <v>2521.3</v>
      </c>
      <c r="N9" s="743">
        <f t="shared" si="2"/>
        <v>46</v>
      </c>
      <c r="O9" s="548">
        <v>146</v>
      </c>
      <c r="P9" s="548">
        <v>137</v>
      </c>
      <c r="Q9" s="548"/>
      <c r="R9" s="548"/>
      <c r="S9" s="548"/>
      <c r="T9" s="548">
        <f t="shared" si="0"/>
        <v>0</v>
      </c>
      <c r="U9" s="548"/>
      <c r="V9" s="548"/>
      <c r="W9" s="605"/>
      <c r="X9" s="367">
        <v>32</v>
      </c>
      <c r="Y9" s="605">
        <v>1</v>
      </c>
      <c r="Z9" s="548"/>
      <c r="AA9" s="548">
        <v>3</v>
      </c>
      <c r="AB9" s="548"/>
      <c r="AC9" s="756">
        <v>141.89</v>
      </c>
      <c r="AD9" s="871">
        <v>6.45</v>
      </c>
      <c r="AE9" s="359">
        <v>3</v>
      </c>
    </row>
    <row r="10" spans="1:31" ht="21.75" customHeight="1">
      <c r="A10" s="548">
        <v>4</v>
      </c>
      <c r="B10" s="362" t="s">
        <v>185</v>
      </c>
      <c r="C10" s="362"/>
      <c r="D10" s="367" t="s">
        <v>150</v>
      </c>
      <c r="E10" s="362"/>
      <c r="F10" s="853">
        <v>73.406</v>
      </c>
      <c r="G10" s="853">
        <v>6.815</v>
      </c>
      <c r="H10" s="852">
        <f t="shared" si="1"/>
        <v>80.221</v>
      </c>
      <c r="I10" s="864">
        <v>2255</v>
      </c>
      <c r="J10" s="865">
        <v>52</v>
      </c>
      <c r="K10" s="866">
        <v>3625</v>
      </c>
      <c r="L10" s="867">
        <v>25</v>
      </c>
      <c r="M10" s="868">
        <f t="shared" si="2"/>
        <v>5880</v>
      </c>
      <c r="N10" s="743">
        <f t="shared" si="2"/>
        <v>77</v>
      </c>
      <c r="O10" s="548">
        <v>246</v>
      </c>
      <c r="P10" s="548">
        <v>231</v>
      </c>
      <c r="Q10" s="548"/>
      <c r="R10" s="548"/>
      <c r="S10" s="548"/>
      <c r="T10" s="548">
        <f t="shared" si="0"/>
        <v>0</v>
      </c>
      <c r="U10" s="548"/>
      <c r="V10" s="548"/>
      <c r="W10" s="605"/>
      <c r="X10" s="367">
        <v>53</v>
      </c>
      <c r="Y10" s="451">
        <v>1</v>
      </c>
      <c r="Z10" s="548"/>
      <c r="AA10" s="548">
        <v>9</v>
      </c>
      <c r="AB10" s="548"/>
      <c r="AC10" s="756">
        <v>475.31</v>
      </c>
      <c r="AD10" s="871">
        <v>7.03</v>
      </c>
      <c r="AE10" s="359">
        <v>5</v>
      </c>
    </row>
    <row r="11" spans="1:30" ht="21.75" customHeight="1">
      <c r="A11" s="743">
        <v>5</v>
      </c>
      <c r="B11" s="362" t="s">
        <v>186</v>
      </c>
      <c r="C11" s="362"/>
      <c r="D11" s="362"/>
      <c r="E11" s="367" t="s">
        <v>150</v>
      </c>
      <c r="F11" s="853"/>
      <c r="G11" s="853">
        <v>20.34</v>
      </c>
      <c r="H11" s="852">
        <f t="shared" si="1"/>
        <v>20.34</v>
      </c>
      <c r="I11" s="864"/>
      <c r="J11" s="865"/>
      <c r="K11" s="866">
        <v>2350</v>
      </c>
      <c r="L11" s="867">
        <v>20</v>
      </c>
      <c r="M11" s="868">
        <f t="shared" si="2"/>
        <v>2350</v>
      </c>
      <c r="N11" s="743">
        <f t="shared" si="2"/>
        <v>20</v>
      </c>
      <c r="O11" s="548">
        <v>60</v>
      </c>
      <c r="P11" s="548">
        <v>60</v>
      </c>
      <c r="Q11" s="548"/>
      <c r="R11" s="548">
        <v>1</v>
      </c>
      <c r="S11" s="548"/>
      <c r="T11" s="548">
        <f t="shared" si="0"/>
        <v>1</v>
      </c>
      <c r="U11" s="548"/>
      <c r="V11" s="548"/>
      <c r="W11" s="605"/>
      <c r="X11" s="367"/>
      <c r="Y11" s="605"/>
      <c r="Z11" s="548"/>
      <c r="AA11" s="548"/>
      <c r="AB11" s="548"/>
      <c r="AC11" s="756">
        <v>0</v>
      </c>
      <c r="AD11" s="871">
        <v>0</v>
      </c>
    </row>
    <row r="12" spans="1:30" ht="21.75" customHeight="1">
      <c r="A12" s="548">
        <v>6</v>
      </c>
      <c r="B12" s="362" t="s">
        <v>187</v>
      </c>
      <c r="C12" s="362" t="s">
        <v>150</v>
      </c>
      <c r="D12" s="362"/>
      <c r="E12" s="362"/>
      <c r="F12" s="853">
        <v>34.05</v>
      </c>
      <c r="G12" s="853">
        <v>0.828</v>
      </c>
      <c r="H12" s="852">
        <f t="shared" si="1"/>
        <v>34.878</v>
      </c>
      <c r="I12" s="864">
        <v>6905</v>
      </c>
      <c r="J12" s="865">
        <v>46</v>
      </c>
      <c r="K12" s="866">
        <v>19718</v>
      </c>
      <c r="L12" s="867">
        <v>109</v>
      </c>
      <c r="M12" s="868">
        <f t="shared" si="2"/>
        <v>26623</v>
      </c>
      <c r="N12" s="743">
        <f t="shared" si="2"/>
        <v>155</v>
      </c>
      <c r="O12" s="548">
        <v>465</v>
      </c>
      <c r="P12" s="548">
        <v>465</v>
      </c>
      <c r="Q12" s="548"/>
      <c r="R12" s="548">
        <v>42</v>
      </c>
      <c r="S12" s="548"/>
      <c r="T12" s="548">
        <f t="shared" si="0"/>
        <v>42</v>
      </c>
      <c r="U12" s="548"/>
      <c r="V12" s="548"/>
      <c r="W12" s="605"/>
      <c r="X12" s="367">
        <v>47</v>
      </c>
      <c r="Y12" s="605">
        <v>1</v>
      </c>
      <c r="Z12" s="548"/>
      <c r="AA12" s="548">
        <v>33</v>
      </c>
      <c r="AB12" s="548"/>
      <c r="AC12" s="756">
        <v>1795.5</v>
      </c>
      <c r="AD12" s="871">
        <v>4.47</v>
      </c>
    </row>
    <row r="13" spans="1:30" ht="21.75" customHeight="1">
      <c r="A13" s="743">
        <v>7</v>
      </c>
      <c r="B13" s="362" t="s">
        <v>188</v>
      </c>
      <c r="C13" s="362"/>
      <c r="D13" s="367" t="s">
        <v>150</v>
      </c>
      <c r="E13" s="362"/>
      <c r="F13" s="853">
        <v>1.02</v>
      </c>
      <c r="G13" s="853"/>
      <c r="H13" s="852">
        <f t="shared" si="1"/>
        <v>1.02</v>
      </c>
      <c r="I13" s="864">
        <v>180</v>
      </c>
      <c r="J13" s="865">
        <v>2</v>
      </c>
      <c r="K13" s="866">
        <v>3525</v>
      </c>
      <c r="L13" s="867">
        <v>12</v>
      </c>
      <c r="M13" s="868">
        <f t="shared" si="2"/>
        <v>3705</v>
      </c>
      <c r="N13" s="743">
        <f t="shared" si="2"/>
        <v>14</v>
      </c>
      <c r="O13" s="548">
        <v>42</v>
      </c>
      <c r="P13" s="548">
        <v>42</v>
      </c>
      <c r="Q13" s="548"/>
      <c r="R13" s="548">
        <v>2</v>
      </c>
      <c r="S13" s="548"/>
      <c r="T13" s="548">
        <f t="shared" si="0"/>
        <v>2</v>
      </c>
      <c r="U13" s="548"/>
      <c r="V13" s="548"/>
      <c r="W13" s="605"/>
      <c r="X13" s="367">
        <v>2</v>
      </c>
      <c r="Y13" s="451">
        <v>1</v>
      </c>
      <c r="Z13" s="548"/>
      <c r="AA13" s="548">
        <v>3</v>
      </c>
      <c r="AB13" s="548"/>
      <c r="AC13" s="756">
        <v>442.4</v>
      </c>
      <c r="AD13" s="871">
        <v>4.68</v>
      </c>
    </row>
    <row r="14" spans="1:30" ht="21.75" customHeight="1">
      <c r="A14" s="548">
        <v>8</v>
      </c>
      <c r="B14" s="362" t="s">
        <v>189</v>
      </c>
      <c r="C14" s="362"/>
      <c r="D14" s="362"/>
      <c r="E14" s="362" t="s">
        <v>150</v>
      </c>
      <c r="F14" s="853"/>
      <c r="G14" s="853">
        <v>3.6</v>
      </c>
      <c r="H14" s="852">
        <f t="shared" si="1"/>
        <v>3.6</v>
      </c>
      <c r="I14" s="864"/>
      <c r="J14" s="865"/>
      <c r="K14" s="866">
        <v>4480</v>
      </c>
      <c r="L14" s="867">
        <v>8</v>
      </c>
      <c r="M14" s="868">
        <f t="shared" si="2"/>
        <v>4480</v>
      </c>
      <c r="N14" s="743">
        <f t="shared" si="2"/>
        <v>8</v>
      </c>
      <c r="O14" s="548">
        <v>24</v>
      </c>
      <c r="P14" s="548">
        <v>24</v>
      </c>
      <c r="Q14" s="548"/>
      <c r="R14" s="548"/>
      <c r="S14" s="548"/>
      <c r="T14" s="548">
        <f t="shared" si="0"/>
        <v>0</v>
      </c>
      <c r="U14" s="548"/>
      <c r="V14" s="548"/>
      <c r="W14" s="605"/>
      <c r="X14" s="367"/>
      <c r="Y14" s="605"/>
      <c r="Z14" s="548"/>
      <c r="AA14" s="548"/>
      <c r="AB14" s="548"/>
      <c r="AC14" s="756">
        <v>460.6</v>
      </c>
      <c r="AD14" s="871">
        <v>0</v>
      </c>
    </row>
    <row r="15" spans="1:30" ht="21.75" customHeight="1">
      <c r="A15" s="743">
        <v>9</v>
      </c>
      <c r="B15" s="362" t="s">
        <v>190</v>
      </c>
      <c r="C15" s="362"/>
      <c r="D15" s="362"/>
      <c r="E15" s="367" t="s">
        <v>150</v>
      </c>
      <c r="F15" s="853"/>
      <c r="G15" s="853">
        <v>3.3</v>
      </c>
      <c r="H15" s="852">
        <f t="shared" si="1"/>
        <v>3.3</v>
      </c>
      <c r="I15" s="864"/>
      <c r="J15" s="865"/>
      <c r="K15" s="866">
        <v>0</v>
      </c>
      <c r="L15" s="867">
        <v>0</v>
      </c>
      <c r="M15" s="868">
        <f t="shared" si="2"/>
        <v>0</v>
      </c>
      <c r="N15" s="743">
        <f t="shared" si="2"/>
        <v>0</v>
      </c>
      <c r="O15" s="548"/>
      <c r="P15" s="548"/>
      <c r="Q15" s="548"/>
      <c r="R15" s="548"/>
      <c r="S15" s="548"/>
      <c r="T15" s="548">
        <f t="shared" si="0"/>
        <v>0</v>
      </c>
      <c r="U15" s="548"/>
      <c r="V15" s="548"/>
      <c r="W15" s="605"/>
      <c r="X15" s="367"/>
      <c r="Y15" s="605"/>
      <c r="Z15" s="548"/>
      <c r="AA15" s="548"/>
      <c r="AB15" s="548"/>
      <c r="AC15" s="756">
        <v>19.87</v>
      </c>
      <c r="AD15" s="871">
        <v>0</v>
      </c>
    </row>
    <row r="16" spans="1:30" ht="21.75" customHeight="1">
      <c r="A16" s="548">
        <v>10</v>
      </c>
      <c r="B16" s="362" t="s">
        <v>191</v>
      </c>
      <c r="C16" s="362"/>
      <c r="D16" s="362" t="s">
        <v>150</v>
      </c>
      <c r="E16" s="362"/>
      <c r="F16" s="853">
        <v>0.98</v>
      </c>
      <c r="G16" s="853"/>
      <c r="H16" s="852">
        <f t="shared" si="1"/>
        <v>0.98</v>
      </c>
      <c r="I16" s="864">
        <v>80</v>
      </c>
      <c r="J16" s="865">
        <v>1</v>
      </c>
      <c r="K16" s="866">
        <v>1135</v>
      </c>
      <c r="L16" s="867">
        <v>8</v>
      </c>
      <c r="M16" s="868">
        <f t="shared" si="2"/>
        <v>1215</v>
      </c>
      <c r="N16" s="743">
        <f t="shared" si="2"/>
        <v>9</v>
      </c>
      <c r="O16" s="548">
        <v>27</v>
      </c>
      <c r="P16" s="548">
        <v>27</v>
      </c>
      <c r="Q16" s="548"/>
      <c r="R16" s="548">
        <v>3</v>
      </c>
      <c r="S16" s="548"/>
      <c r="T16" s="548">
        <f t="shared" si="0"/>
        <v>3</v>
      </c>
      <c r="U16" s="548"/>
      <c r="V16" s="548"/>
      <c r="W16" s="605"/>
      <c r="X16" s="367">
        <v>2</v>
      </c>
      <c r="Y16" s="605">
        <v>1</v>
      </c>
      <c r="Z16" s="548"/>
      <c r="AA16" s="548">
        <v>3</v>
      </c>
      <c r="AB16" s="548"/>
      <c r="AC16" s="756">
        <v>135.27</v>
      </c>
      <c r="AD16" s="871">
        <v>4.58</v>
      </c>
    </row>
    <row r="17" spans="1:30" ht="21.75" customHeight="1">
      <c r="A17" s="743">
        <v>11</v>
      </c>
      <c r="B17" s="362" t="s">
        <v>192</v>
      </c>
      <c r="C17" s="362"/>
      <c r="D17" s="362"/>
      <c r="E17" s="367" t="s">
        <v>150</v>
      </c>
      <c r="F17" s="853"/>
      <c r="G17" s="853">
        <v>0.26</v>
      </c>
      <c r="H17" s="852">
        <f t="shared" si="1"/>
        <v>0.26</v>
      </c>
      <c r="I17" s="864"/>
      <c r="J17" s="865"/>
      <c r="K17" s="866">
        <v>9000</v>
      </c>
      <c r="L17" s="867">
        <v>11</v>
      </c>
      <c r="M17" s="868">
        <f t="shared" si="2"/>
        <v>9000</v>
      </c>
      <c r="N17" s="743">
        <f t="shared" si="2"/>
        <v>11</v>
      </c>
      <c r="O17" s="548">
        <v>33</v>
      </c>
      <c r="P17" s="548">
        <v>33</v>
      </c>
      <c r="Q17" s="548"/>
      <c r="R17" s="548"/>
      <c r="S17" s="548"/>
      <c r="T17" s="548">
        <f t="shared" si="0"/>
        <v>0</v>
      </c>
      <c r="U17" s="548"/>
      <c r="V17" s="548"/>
      <c r="W17" s="605"/>
      <c r="X17" s="367"/>
      <c r="Y17" s="451"/>
      <c r="Z17" s="548"/>
      <c r="AA17" s="548"/>
      <c r="AB17" s="548"/>
      <c r="AC17" s="756">
        <v>0</v>
      </c>
      <c r="AD17" s="871">
        <v>0</v>
      </c>
    </row>
    <row r="18" spans="1:30" ht="21.75" customHeight="1">
      <c r="A18" s="548">
        <v>12</v>
      </c>
      <c r="B18" s="362" t="s">
        <v>193</v>
      </c>
      <c r="C18" s="362"/>
      <c r="D18" s="362"/>
      <c r="E18" s="367" t="s">
        <v>150</v>
      </c>
      <c r="F18" s="853"/>
      <c r="G18" s="853">
        <v>0.26</v>
      </c>
      <c r="H18" s="852">
        <f t="shared" si="1"/>
        <v>0.26</v>
      </c>
      <c r="I18" s="864"/>
      <c r="J18" s="865"/>
      <c r="K18" s="866">
        <v>0</v>
      </c>
      <c r="L18" s="867">
        <v>0</v>
      </c>
      <c r="M18" s="868">
        <f t="shared" si="2"/>
        <v>0</v>
      </c>
      <c r="N18" s="743">
        <f t="shared" si="2"/>
        <v>0</v>
      </c>
      <c r="O18" s="548"/>
      <c r="P18" s="548"/>
      <c r="Q18" s="548"/>
      <c r="R18" s="548"/>
      <c r="S18" s="548"/>
      <c r="T18" s="548">
        <f t="shared" si="0"/>
        <v>0</v>
      </c>
      <c r="U18" s="548"/>
      <c r="V18" s="548"/>
      <c r="W18" s="605"/>
      <c r="X18" s="367"/>
      <c r="Y18" s="451"/>
      <c r="Z18" s="548"/>
      <c r="AA18" s="548"/>
      <c r="AB18" s="548"/>
      <c r="AC18" s="756">
        <v>495.9</v>
      </c>
      <c r="AD18" s="871">
        <v>0</v>
      </c>
    </row>
    <row r="19" spans="1:31" ht="21.75" customHeight="1">
      <c r="A19" s="743">
        <v>13</v>
      </c>
      <c r="B19" s="362" t="s">
        <v>194</v>
      </c>
      <c r="C19" s="362"/>
      <c r="D19" s="367" t="s">
        <v>150</v>
      </c>
      <c r="E19" s="362"/>
      <c r="F19" s="853">
        <v>90.51</v>
      </c>
      <c r="G19" s="853">
        <v>4.85</v>
      </c>
      <c r="H19" s="852">
        <f t="shared" si="1"/>
        <v>95.36</v>
      </c>
      <c r="I19" s="864">
        <v>3200</v>
      </c>
      <c r="J19" s="865">
        <v>76</v>
      </c>
      <c r="K19" s="866">
        <v>9172.6</v>
      </c>
      <c r="L19" s="867">
        <v>72</v>
      </c>
      <c r="M19" s="868">
        <f t="shared" si="2"/>
        <v>12372.6</v>
      </c>
      <c r="N19" s="743">
        <f t="shared" si="2"/>
        <v>148</v>
      </c>
      <c r="O19" s="548">
        <v>445</v>
      </c>
      <c r="P19" s="548">
        <v>442</v>
      </c>
      <c r="Q19" s="548"/>
      <c r="R19" s="548">
        <v>4</v>
      </c>
      <c r="S19" s="548"/>
      <c r="T19" s="548">
        <f t="shared" si="0"/>
        <v>4</v>
      </c>
      <c r="U19" s="548"/>
      <c r="V19" s="548"/>
      <c r="W19" s="605"/>
      <c r="X19" s="367">
        <v>77</v>
      </c>
      <c r="Y19" s="451">
        <v>1</v>
      </c>
      <c r="Z19" s="548"/>
      <c r="AA19" s="548">
        <v>0</v>
      </c>
      <c r="AB19" s="548"/>
      <c r="AC19" s="756">
        <v>309.79</v>
      </c>
      <c r="AD19" s="871">
        <v>8.18</v>
      </c>
      <c r="AE19" s="359">
        <v>1</v>
      </c>
    </row>
    <row r="20" spans="1:31" ht="21.75" customHeight="1">
      <c r="A20" s="548">
        <v>14</v>
      </c>
      <c r="B20" s="362" t="s">
        <v>195</v>
      </c>
      <c r="C20" s="362"/>
      <c r="D20" s="367" t="s">
        <v>150</v>
      </c>
      <c r="E20" s="362"/>
      <c r="F20" s="853">
        <v>15.537</v>
      </c>
      <c r="G20" s="853">
        <v>1.023</v>
      </c>
      <c r="H20" s="852">
        <f t="shared" si="1"/>
        <v>16.560000000000002</v>
      </c>
      <c r="I20" s="864">
        <v>796.3</v>
      </c>
      <c r="J20" s="865">
        <v>18</v>
      </c>
      <c r="K20" s="866">
        <v>1436.3</v>
      </c>
      <c r="L20" s="867">
        <v>15</v>
      </c>
      <c r="M20" s="868">
        <f t="shared" si="2"/>
        <v>2232.6</v>
      </c>
      <c r="N20" s="743">
        <f t="shared" si="2"/>
        <v>33</v>
      </c>
      <c r="O20" s="548">
        <v>111</v>
      </c>
      <c r="P20" s="548">
        <v>99</v>
      </c>
      <c r="Q20" s="548"/>
      <c r="R20" s="548">
        <v>3</v>
      </c>
      <c r="S20" s="548"/>
      <c r="T20" s="548">
        <f t="shared" si="0"/>
        <v>3</v>
      </c>
      <c r="U20" s="548"/>
      <c r="V20" s="548"/>
      <c r="W20" s="605">
        <v>1</v>
      </c>
      <c r="X20" s="367">
        <v>18</v>
      </c>
      <c r="Y20" s="451">
        <v>1</v>
      </c>
      <c r="Z20" s="548"/>
      <c r="AA20" s="548">
        <v>0</v>
      </c>
      <c r="AB20" s="548"/>
      <c r="AC20" s="756">
        <v>961</v>
      </c>
      <c r="AD20" s="871">
        <v>8.52</v>
      </c>
      <c r="AE20" s="359">
        <v>4</v>
      </c>
    </row>
    <row r="21" spans="1:30" ht="21.75" customHeight="1">
      <c r="A21" s="743">
        <v>15</v>
      </c>
      <c r="B21" s="362" t="s">
        <v>196</v>
      </c>
      <c r="C21" s="362"/>
      <c r="D21" s="362"/>
      <c r="E21" s="367" t="s">
        <v>150</v>
      </c>
      <c r="F21" s="853"/>
      <c r="G21" s="853">
        <v>3.6</v>
      </c>
      <c r="H21" s="852">
        <f t="shared" si="1"/>
        <v>3.6</v>
      </c>
      <c r="I21" s="864"/>
      <c r="J21" s="865"/>
      <c r="K21" s="866">
        <v>730</v>
      </c>
      <c r="L21" s="867">
        <v>5</v>
      </c>
      <c r="M21" s="868">
        <f t="shared" si="2"/>
        <v>730</v>
      </c>
      <c r="N21" s="743">
        <f t="shared" si="2"/>
        <v>5</v>
      </c>
      <c r="O21" s="548">
        <v>15</v>
      </c>
      <c r="P21" s="548">
        <v>15</v>
      </c>
      <c r="Q21" s="548"/>
      <c r="R21" s="548">
        <v>1</v>
      </c>
      <c r="S21" s="548"/>
      <c r="T21" s="548">
        <f t="shared" si="0"/>
        <v>1</v>
      </c>
      <c r="U21" s="548"/>
      <c r="V21" s="548"/>
      <c r="W21" s="605"/>
      <c r="X21" s="367"/>
      <c r="Y21" s="451"/>
      <c r="Z21" s="548"/>
      <c r="AA21" s="548"/>
      <c r="AB21" s="548"/>
      <c r="AC21" s="756">
        <v>28.78</v>
      </c>
      <c r="AD21" s="871">
        <v>1.16</v>
      </c>
    </row>
    <row r="22" spans="1:31" ht="21.75" customHeight="1">
      <c r="A22" s="548">
        <v>16</v>
      </c>
      <c r="B22" s="362" t="s">
        <v>197</v>
      </c>
      <c r="C22" s="362"/>
      <c r="D22" s="362" t="s">
        <v>150</v>
      </c>
      <c r="E22" s="362"/>
      <c r="F22" s="853">
        <v>45.375</v>
      </c>
      <c r="G22" s="853"/>
      <c r="H22" s="852">
        <f t="shared" si="1"/>
        <v>45.375</v>
      </c>
      <c r="I22" s="864">
        <v>1110</v>
      </c>
      <c r="J22" s="865">
        <v>29</v>
      </c>
      <c r="K22" s="866">
        <v>3037.6</v>
      </c>
      <c r="L22" s="867">
        <v>26</v>
      </c>
      <c r="M22" s="868">
        <f t="shared" si="2"/>
        <v>4147.6</v>
      </c>
      <c r="N22" s="743">
        <f t="shared" si="2"/>
        <v>55</v>
      </c>
      <c r="O22" s="548">
        <v>175</v>
      </c>
      <c r="P22" s="548">
        <v>163</v>
      </c>
      <c r="Q22" s="548"/>
      <c r="R22" s="548">
        <v>1</v>
      </c>
      <c r="S22" s="548"/>
      <c r="T22" s="548">
        <f t="shared" si="0"/>
        <v>1</v>
      </c>
      <c r="U22" s="548"/>
      <c r="V22" s="548"/>
      <c r="W22" s="605"/>
      <c r="X22" s="367">
        <v>30</v>
      </c>
      <c r="Y22" s="451">
        <v>1</v>
      </c>
      <c r="Z22" s="548"/>
      <c r="AA22" s="548">
        <v>9</v>
      </c>
      <c r="AB22" s="548"/>
      <c r="AC22" s="756">
        <v>489.08</v>
      </c>
      <c r="AD22" s="871">
        <v>5.36</v>
      </c>
      <c r="AE22" s="359">
        <v>4</v>
      </c>
    </row>
    <row r="23" spans="1:31" ht="21.75" customHeight="1">
      <c r="A23" s="743">
        <v>17</v>
      </c>
      <c r="B23" s="362" t="s">
        <v>198</v>
      </c>
      <c r="C23" s="362"/>
      <c r="D23" s="362" t="s">
        <v>150</v>
      </c>
      <c r="E23" s="362"/>
      <c r="F23" s="853">
        <v>48.21</v>
      </c>
      <c r="G23" s="853"/>
      <c r="H23" s="852">
        <f t="shared" si="1"/>
        <v>48.21</v>
      </c>
      <c r="I23" s="864">
        <v>2475</v>
      </c>
      <c r="J23" s="865">
        <v>45</v>
      </c>
      <c r="K23" s="866">
        <v>2127.6</v>
      </c>
      <c r="L23" s="867">
        <v>24</v>
      </c>
      <c r="M23" s="868">
        <f t="shared" si="2"/>
        <v>4602.6</v>
      </c>
      <c r="N23" s="743">
        <f t="shared" si="2"/>
        <v>69</v>
      </c>
      <c r="O23" s="548">
        <v>211</v>
      </c>
      <c r="P23" s="548">
        <v>205</v>
      </c>
      <c r="Q23" s="548"/>
      <c r="R23" s="548">
        <v>2</v>
      </c>
      <c r="S23" s="548"/>
      <c r="T23" s="548">
        <f t="shared" si="0"/>
        <v>2</v>
      </c>
      <c r="U23" s="548"/>
      <c r="V23" s="548"/>
      <c r="W23" s="605"/>
      <c r="X23" s="367">
        <v>46</v>
      </c>
      <c r="Y23" s="605">
        <v>1</v>
      </c>
      <c r="Z23" s="548"/>
      <c r="AA23" s="548">
        <v>6</v>
      </c>
      <c r="AB23" s="548"/>
      <c r="AC23" s="756">
        <v>364.27</v>
      </c>
      <c r="AD23" s="871">
        <v>1.48</v>
      </c>
      <c r="AE23" s="359">
        <v>2</v>
      </c>
    </row>
    <row r="24" spans="1:31" ht="21.75" customHeight="1">
      <c r="A24" s="548">
        <v>18</v>
      </c>
      <c r="B24" s="362" t="s">
        <v>199</v>
      </c>
      <c r="C24" s="362"/>
      <c r="D24" s="362" t="s">
        <v>150</v>
      </c>
      <c r="E24" s="362"/>
      <c r="F24" s="853">
        <v>20.962</v>
      </c>
      <c r="G24" s="853"/>
      <c r="H24" s="852">
        <f t="shared" si="1"/>
        <v>20.962</v>
      </c>
      <c r="I24" s="864">
        <v>880</v>
      </c>
      <c r="J24" s="865">
        <v>28</v>
      </c>
      <c r="K24" s="866">
        <v>426.3</v>
      </c>
      <c r="L24" s="867">
        <v>7</v>
      </c>
      <c r="M24" s="868">
        <f t="shared" si="2"/>
        <v>1306.3</v>
      </c>
      <c r="N24" s="743">
        <f t="shared" si="2"/>
        <v>35</v>
      </c>
      <c r="O24" s="548">
        <v>125</v>
      </c>
      <c r="P24" s="548">
        <v>104</v>
      </c>
      <c r="Q24" s="548"/>
      <c r="R24" s="548">
        <v>4</v>
      </c>
      <c r="S24" s="548"/>
      <c r="T24" s="548">
        <f t="shared" si="0"/>
        <v>4</v>
      </c>
      <c r="U24" s="548"/>
      <c r="V24" s="548"/>
      <c r="W24" s="605"/>
      <c r="X24" s="367">
        <v>29</v>
      </c>
      <c r="Y24" s="605">
        <v>1</v>
      </c>
      <c r="Z24" s="548"/>
      <c r="AA24" s="548">
        <v>3</v>
      </c>
      <c r="AB24" s="548"/>
      <c r="AC24" s="756">
        <v>1487.3965</v>
      </c>
      <c r="AD24" s="871">
        <v>1.96</v>
      </c>
      <c r="AE24" s="359">
        <v>3</v>
      </c>
    </row>
    <row r="25" spans="1:30" ht="21.75" customHeight="1">
      <c r="A25" s="743">
        <v>19</v>
      </c>
      <c r="B25" s="362" t="s">
        <v>200</v>
      </c>
      <c r="C25" s="362"/>
      <c r="D25" s="362"/>
      <c r="E25" s="362" t="s">
        <v>150</v>
      </c>
      <c r="F25" s="853"/>
      <c r="G25" s="853"/>
      <c r="H25" s="852"/>
      <c r="I25" s="864"/>
      <c r="J25" s="865"/>
      <c r="K25" s="866"/>
      <c r="L25" s="867"/>
      <c r="M25" s="868">
        <f t="shared" si="2"/>
        <v>0</v>
      </c>
      <c r="N25" s="743">
        <f t="shared" si="2"/>
        <v>0</v>
      </c>
      <c r="O25" s="548"/>
      <c r="P25" s="548"/>
      <c r="Q25" s="548"/>
      <c r="R25" s="548"/>
      <c r="S25" s="548"/>
      <c r="T25" s="548">
        <f t="shared" si="0"/>
        <v>0</v>
      </c>
      <c r="U25" s="548"/>
      <c r="V25" s="548"/>
      <c r="W25" s="605"/>
      <c r="X25" s="367"/>
      <c r="Y25" s="451"/>
      <c r="Z25" s="548"/>
      <c r="AA25" s="548"/>
      <c r="AB25" s="548"/>
      <c r="AC25" s="756">
        <v>2834.9235</v>
      </c>
      <c r="AD25" s="871">
        <v>0.28</v>
      </c>
    </row>
    <row r="26" spans="1:31" ht="21.75" customHeight="1">
      <c r="A26" s="548">
        <v>20</v>
      </c>
      <c r="B26" s="362" t="s">
        <v>201</v>
      </c>
      <c r="C26" s="362"/>
      <c r="D26" s="362" t="s">
        <v>150</v>
      </c>
      <c r="E26" s="362"/>
      <c r="F26" s="853">
        <v>172.145</v>
      </c>
      <c r="G26" s="853">
        <v>0.175</v>
      </c>
      <c r="H26" s="852">
        <f t="shared" si="1"/>
        <v>172.32000000000002</v>
      </c>
      <c r="I26" s="864">
        <v>1280</v>
      </c>
      <c r="J26" s="865">
        <v>61</v>
      </c>
      <c r="K26" s="866">
        <v>5511.3</v>
      </c>
      <c r="L26" s="867">
        <v>100</v>
      </c>
      <c r="M26" s="868">
        <f t="shared" si="2"/>
        <v>6791.3</v>
      </c>
      <c r="N26" s="743">
        <f t="shared" si="2"/>
        <v>161</v>
      </c>
      <c r="O26" s="548">
        <v>492</v>
      </c>
      <c r="P26" s="548">
        <v>482</v>
      </c>
      <c r="Q26" s="548"/>
      <c r="R26" s="548">
        <v>6</v>
      </c>
      <c r="S26" s="548"/>
      <c r="T26" s="548">
        <f t="shared" si="0"/>
        <v>6</v>
      </c>
      <c r="U26" s="548"/>
      <c r="V26" s="548"/>
      <c r="W26" s="605"/>
      <c r="X26" s="367">
        <v>62</v>
      </c>
      <c r="Y26" s="605">
        <v>1</v>
      </c>
      <c r="Z26" s="548"/>
      <c r="AA26" s="548">
        <v>9</v>
      </c>
      <c r="AB26" s="548"/>
      <c r="AC26" s="756">
        <v>1367.69</v>
      </c>
      <c r="AD26" s="871">
        <v>2.2</v>
      </c>
      <c r="AE26" s="359">
        <v>5</v>
      </c>
    </row>
    <row r="27" spans="1:31" ht="21.75" customHeight="1">
      <c r="A27" s="743">
        <v>21</v>
      </c>
      <c r="B27" s="362" t="s">
        <v>202</v>
      </c>
      <c r="C27" s="362"/>
      <c r="D27" s="362" t="s">
        <v>150</v>
      </c>
      <c r="E27" s="362"/>
      <c r="F27" s="853">
        <v>40.03</v>
      </c>
      <c r="G27" s="853">
        <v>0.7</v>
      </c>
      <c r="H27" s="852">
        <f t="shared" si="1"/>
        <v>40.730000000000004</v>
      </c>
      <c r="I27" s="864">
        <v>920</v>
      </c>
      <c r="J27" s="865">
        <v>22</v>
      </c>
      <c r="K27" s="866">
        <v>4855</v>
      </c>
      <c r="L27" s="867">
        <v>50</v>
      </c>
      <c r="M27" s="868">
        <f t="shared" si="2"/>
        <v>5775</v>
      </c>
      <c r="N27" s="743">
        <f t="shared" si="2"/>
        <v>72</v>
      </c>
      <c r="O27" s="548">
        <v>222</v>
      </c>
      <c r="P27" s="548">
        <v>216</v>
      </c>
      <c r="Q27" s="548"/>
      <c r="R27" s="548">
        <v>6</v>
      </c>
      <c r="S27" s="548"/>
      <c r="T27" s="548">
        <f t="shared" si="0"/>
        <v>6</v>
      </c>
      <c r="U27" s="548"/>
      <c r="V27" s="548"/>
      <c r="W27" s="605"/>
      <c r="X27" s="367">
        <v>23</v>
      </c>
      <c r="Y27" s="605">
        <v>1</v>
      </c>
      <c r="Z27" s="548"/>
      <c r="AA27" s="548">
        <v>12</v>
      </c>
      <c r="AB27" s="548"/>
      <c r="AC27" s="756">
        <v>1023.57</v>
      </c>
      <c r="AD27" s="871">
        <v>5.32</v>
      </c>
      <c r="AE27" s="359">
        <v>2</v>
      </c>
    </row>
    <row r="28" spans="1:31" ht="21.75" customHeight="1">
      <c r="A28" s="548">
        <v>22</v>
      </c>
      <c r="B28" s="362" t="s">
        <v>203</v>
      </c>
      <c r="C28" s="362"/>
      <c r="D28" s="362" t="s">
        <v>150</v>
      </c>
      <c r="E28" s="362"/>
      <c r="F28" s="853">
        <v>103.255</v>
      </c>
      <c r="G28" s="853"/>
      <c r="H28" s="852">
        <f t="shared" si="1"/>
        <v>103.255</v>
      </c>
      <c r="I28" s="864">
        <v>2126.3</v>
      </c>
      <c r="J28" s="865">
        <v>71</v>
      </c>
      <c r="K28" s="866">
        <v>5956</v>
      </c>
      <c r="L28" s="867">
        <v>58</v>
      </c>
      <c r="M28" s="868">
        <f t="shared" si="2"/>
        <v>8082.3</v>
      </c>
      <c r="N28" s="743">
        <f t="shared" si="2"/>
        <v>129</v>
      </c>
      <c r="O28" s="548">
        <v>407</v>
      </c>
      <c r="P28" s="548">
        <v>386</v>
      </c>
      <c r="Q28" s="548"/>
      <c r="R28" s="548">
        <v>3</v>
      </c>
      <c r="S28" s="548"/>
      <c r="T28" s="548">
        <f t="shared" si="0"/>
        <v>3</v>
      </c>
      <c r="U28" s="548"/>
      <c r="V28" s="548"/>
      <c r="W28" s="605"/>
      <c r="X28" s="367">
        <v>72</v>
      </c>
      <c r="Y28" s="451">
        <v>1</v>
      </c>
      <c r="Z28" s="548"/>
      <c r="AA28" s="548">
        <v>18</v>
      </c>
      <c r="AB28" s="548"/>
      <c r="AC28" s="756">
        <v>875.37</v>
      </c>
      <c r="AD28" s="871">
        <v>6.86</v>
      </c>
      <c r="AE28" s="359">
        <v>7</v>
      </c>
    </row>
    <row r="29" spans="1:30" ht="21.75" customHeight="1">
      <c r="A29" s="743">
        <v>23</v>
      </c>
      <c r="B29" s="362" t="s">
        <v>204</v>
      </c>
      <c r="C29" s="362"/>
      <c r="D29" s="362"/>
      <c r="E29" s="362" t="s">
        <v>150</v>
      </c>
      <c r="F29" s="853"/>
      <c r="G29" s="853">
        <v>12.55</v>
      </c>
      <c r="H29" s="852">
        <f t="shared" si="1"/>
        <v>12.55</v>
      </c>
      <c r="I29" s="864"/>
      <c r="J29" s="865"/>
      <c r="K29" s="869">
        <v>525</v>
      </c>
      <c r="L29" s="870">
        <v>2</v>
      </c>
      <c r="M29" s="868">
        <f t="shared" si="2"/>
        <v>525</v>
      </c>
      <c r="N29" s="743">
        <f t="shared" si="2"/>
        <v>2</v>
      </c>
      <c r="O29" s="548">
        <v>6</v>
      </c>
      <c r="P29" s="548">
        <v>6</v>
      </c>
      <c r="Q29" s="548"/>
      <c r="R29" s="548">
        <v>1</v>
      </c>
      <c r="S29" s="548"/>
      <c r="T29" s="548">
        <f t="shared" si="0"/>
        <v>1</v>
      </c>
      <c r="U29" s="548"/>
      <c r="V29" s="548"/>
      <c r="W29" s="605"/>
      <c r="X29" s="367"/>
      <c r="Y29" s="605"/>
      <c r="Z29" s="548"/>
      <c r="AA29" s="548"/>
      <c r="AB29" s="548"/>
      <c r="AC29" s="756">
        <v>220.3</v>
      </c>
      <c r="AD29" s="871">
        <v>0</v>
      </c>
    </row>
    <row r="30" spans="1:30" ht="21.75" customHeight="1">
      <c r="A30" s="548">
        <v>24</v>
      </c>
      <c r="B30" s="362" t="s">
        <v>205</v>
      </c>
      <c r="C30" s="362"/>
      <c r="D30" s="362"/>
      <c r="E30" s="362" t="s">
        <v>150</v>
      </c>
      <c r="F30" s="853"/>
      <c r="G30" s="853">
        <v>4.35</v>
      </c>
      <c r="H30" s="852">
        <f t="shared" si="1"/>
        <v>4.35</v>
      </c>
      <c r="I30" s="864"/>
      <c r="J30" s="865"/>
      <c r="K30" s="869">
        <v>480</v>
      </c>
      <c r="L30" s="870">
        <v>2</v>
      </c>
      <c r="M30" s="868">
        <f t="shared" si="2"/>
        <v>480</v>
      </c>
      <c r="N30" s="743">
        <f t="shared" si="2"/>
        <v>2</v>
      </c>
      <c r="O30" s="548">
        <v>6</v>
      </c>
      <c r="P30" s="548">
        <v>6</v>
      </c>
      <c r="Q30" s="548"/>
      <c r="R30" s="548"/>
      <c r="S30" s="548"/>
      <c r="T30" s="548">
        <f t="shared" si="0"/>
        <v>0</v>
      </c>
      <c r="U30" s="548"/>
      <c r="V30" s="548"/>
      <c r="W30" s="605"/>
      <c r="X30" s="367"/>
      <c r="Y30" s="605"/>
      <c r="Z30" s="548"/>
      <c r="AA30" s="548"/>
      <c r="AB30" s="548"/>
      <c r="AC30" s="756">
        <v>13.65</v>
      </c>
      <c r="AD30" s="871">
        <v>0</v>
      </c>
    </row>
    <row r="31" spans="1:30" ht="21.75" customHeight="1">
      <c r="A31" s="743">
        <v>25</v>
      </c>
      <c r="B31" s="362" t="s">
        <v>206</v>
      </c>
      <c r="C31" s="362"/>
      <c r="D31" s="362"/>
      <c r="E31" s="362" t="s">
        <v>150</v>
      </c>
      <c r="F31" s="853"/>
      <c r="G31" s="853">
        <v>4.75</v>
      </c>
      <c r="H31" s="852">
        <f t="shared" si="1"/>
        <v>4.75</v>
      </c>
      <c r="I31" s="864"/>
      <c r="J31" s="865"/>
      <c r="K31" s="869">
        <v>0</v>
      </c>
      <c r="L31" s="870">
        <v>0</v>
      </c>
      <c r="M31" s="868">
        <f t="shared" si="2"/>
        <v>0</v>
      </c>
      <c r="N31" s="743">
        <f t="shared" si="2"/>
        <v>0</v>
      </c>
      <c r="O31" s="548"/>
      <c r="P31" s="548"/>
      <c r="Q31" s="548"/>
      <c r="R31" s="548"/>
      <c r="S31" s="548"/>
      <c r="T31" s="548">
        <f t="shared" si="0"/>
        <v>0</v>
      </c>
      <c r="U31" s="548"/>
      <c r="V31" s="548"/>
      <c r="W31" s="605"/>
      <c r="X31" s="367"/>
      <c r="Y31" s="451"/>
      <c r="Z31" s="548"/>
      <c r="AA31" s="548"/>
      <c r="AB31" s="548"/>
      <c r="AC31" s="756">
        <v>0</v>
      </c>
      <c r="AD31" s="871">
        <v>0</v>
      </c>
    </row>
    <row r="32" spans="1:31" ht="21.75" customHeight="1">
      <c r="A32" s="548">
        <v>26</v>
      </c>
      <c r="B32" s="378" t="s">
        <v>207</v>
      </c>
      <c r="C32" s="378"/>
      <c r="D32" s="378" t="s">
        <v>150</v>
      </c>
      <c r="E32" s="378"/>
      <c r="F32" s="853">
        <v>87.473</v>
      </c>
      <c r="G32" s="853">
        <v>15.971</v>
      </c>
      <c r="H32" s="852">
        <f t="shared" si="1"/>
        <v>103.444</v>
      </c>
      <c r="I32" s="864">
        <v>1416.3</v>
      </c>
      <c r="J32" s="865">
        <v>50</v>
      </c>
      <c r="K32" s="866">
        <v>4475</v>
      </c>
      <c r="L32" s="867">
        <v>109</v>
      </c>
      <c r="M32" s="868">
        <f t="shared" si="2"/>
        <v>5891.3</v>
      </c>
      <c r="N32" s="743">
        <f t="shared" si="2"/>
        <v>159</v>
      </c>
      <c r="O32" s="548">
        <v>503</v>
      </c>
      <c r="P32" s="548">
        <v>476</v>
      </c>
      <c r="Q32" s="548"/>
      <c r="R32" s="548">
        <v>3</v>
      </c>
      <c r="S32" s="548"/>
      <c r="T32" s="548">
        <f t="shared" si="0"/>
        <v>3</v>
      </c>
      <c r="U32" s="548"/>
      <c r="V32" s="548"/>
      <c r="W32" s="605">
        <v>1</v>
      </c>
      <c r="X32" s="367">
        <v>60</v>
      </c>
      <c r="Y32" s="605">
        <v>1</v>
      </c>
      <c r="Z32" s="548"/>
      <c r="AA32" s="548">
        <v>15</v>
      </c>
      <c r="AB32" s="548"/>
      <c r="AC32" s="756">
        <v>2242.52</v>
      </c>
      <c r="AD32" s="871">
        <v>4.23</v>
      </c>
      <c r="AE32" s="359">
        <v>9</v>
      </c>
    </row>
    <row r="33" spans="1:31" ht="21.75" customHeight="1">
      <c r="A33" s="743">
        <v>27</v>
      </c>
      <c r="B33" s="378" t="s">
        <v>208</v>
      </c>
      <c r="C33" s="378"/>
      <c r="D33" s="378" t="s">
        <v>150</v>
      </c>
      <c r="E33" s="378"/>
      <c r="F33" s="853">
        <v>42.357</v>
      </c>
      <c r="G33" s="853">
        <v>19.037</v>
      </c>
      <c r="H33" s="852">
        <f t="shared" si="1"/>
        <v>61.394</v>
      </c>
      <c r="I33" s="864">
        <v>610</v>
      </c>
      <c r="J33" s="865">
        <v>24</v>
      </c>
      <c r="K33" s="866">
        <v>5358.6</v>
      </c>
      <c r="L33" s="867">
        <v>59</v>
      </c>
      <c r="M33" s="868">
        <f t="shared" si="2"/>
        <v>5968.6</v>
      </c>
      <c r="N33" s="743">
        <f t="shared" si="2"/>
        <v>83</v>
      </c>
      <c r="O33" s="548">
        <v>259</v>
      </c>
      <c r="P33" s="548">
        <v>247</v>
      </c>
      <c r="Q33" s="548"/>
      <c r="R33" s="548">
        <v>2</v>
      </c>
      <c r="S33" s="548"/>
      <c r="T33" s="548">
        <f t="shared" si="0"/>
        <v>2</v>
      </c>
      <c r="U33" s="548"/>
      <c r="V33" s="548"/>
      <c r="W33" s="605"/>
      <c r="X33" s="378">
        <v>25</v>
      </c>
      <c r="Y33" s="605">
        <v>1</v>
      </c>
      <c r="Z33" s="548"/>
      <c r="AA33" s="548">
        <v>12</v>
      </c>
      <c r="AB33" s="548"/>
      <c r="AC33" s="756">
        <v>1116.84</v>
      </c>
      <c r="AD33" s="871">
        <v>3.27</v>
      </c>
      <c r="AE33" s="359">
        <v>4</v>
      </c>
    </row>
    <row r="34" spans="1:30" ht="21.75" customHeight="1">
      <c r="A34" s="745" t="s">
        <v>122</v>
      </c>
      <c r="B34" s="746"/>
      <c r="C34" s="548">
        <v>1</v>
      </c>
      <c r="D34" s="548">
        <v>16</v>
      </c>
      <c r="E34" s="548">
        <v>10</v>
      </c>
      <c r="F34" s="853">
        <f>SUM(F7:F33)</f>
        <v>1077.47</v>
      </c>
      <c r="G34" s="853">
        <f aca="true" t="shared" si="3" ref="G34:AC34">SUM(G7:G33)</f>
        <v>105.19899999999998</v>
      </c>
      <c r="H34" s="853">
        <f t="shared" si="3"/>
        <v>1182.669</v>
      </c>
      <c r="I34" s="871">
        <f t="shared" si="3"/>
        <v>30785.199999999997</v>
      </c>
      <c r="J34" s="872">
        <f t="shared" si="3"/>
        <v>673</v>
      </c>
      <c r="K34" s="871">
        <f t="shared" si="3"/>
        <v>95155.80000000002</v>
      </c>
      <c r="L34" s="867">
        <f t="shared" si="3"/>
        <v>802</v>
      </c>
      <c r="M34" s="871">
        <f t="shared" si="3"/>
        <v>125941.00000000004</v>
      </c>
      <c r="N34" s="548">
        <f t="shared" si="3"/>
        <v>1475</v>
      </c>
      <c r="O34" s="548">
        <f t="shared" si="3"/>
        <v>4605</v>
      </c>
      <c r="P34" s="548">
        <f t="shared" si="3"/>
        <v>4412</v>
      </c>
      <c r="Q34" s="548">
        <f t="shared" si="3"/>
        <v>0</v>
      </c>
      <c r="R34" s="548">
        <f t="shared" si="3"/>
        <v>89</v>
      </c>
      <c r="S34" s="548">
        <f t="shared" si="3"/>
        <v>0</v>
      </c>
      <c r="T34" s="548">
        <f t="shared" si="3"/>
        <v>89</v>
      </c>
      <c r="U34" s="548">
        <f t="shared" si="3"/>
        <v>0</v>
      </c>
      <c r="V34" s="548">
        <f t="shared" si="3"/>
        <v>0</v>
      </c>
      <c r="W34" s="605">
        <f t="shared" si="3"/>
        <v>3</v>
      </c>
      <c r="X34" s="548">
        <f t="shared" si="3"/>
        <v>696</v>
      </c>
      <c r="Y34" s="605">
        <f t="shared" si="3"/>
        <v>17</v>
      </c>
      <c r="Z34" s="548">
        <f t="shared" si="3"/>
        <v>0</v>
      </c>
      <c r="AA34" s="548">
        <f t="shared" si="3"/>
        <v>153</v>
      </c>
      <c r="AB34" s="548">
        <f t="shared" si="3"/>
        <v>0</v>
      </c>
      <c r="AC34" s="756">
        <f t="shared" si="3"/>
        <v>18315.01</v>
      </c>
      <c r="AD34" s="871">
        <v>3.4</v>
      </c>
    </row>
    <row r="35" spans="1:30" ht="21.75" customHeight="1">
      <c r="A35" s="854" t="s">
        <v>209</v>
      </c>
      <c r="B35" s="855"/>
      <c r="C35" s="856">
        <v>1</v>
      </c>
      <c r="D35" s="856">
        <v>16</v>
      </c>
      <c r="E35" s="856">
        <v>10</v>
      </c>
      <c r="F35" s="857">
        <f>F34</f>
        <v>1077.47</v>
      </c>
      <c r="G35" s="857">
        <f aca="true" t="shared" si="4" ref="G35:AD35">G34</f>
        <v>105.19899999999998</v>
      </c>
      <c r="H35" s="857">
        <f t="shared" si="4"/>
        <v>1182.669</v>
      </c>
      <c r="I35" s="873">
        <f t="shared" si="4"/>
        <v>30785.199999999997</v>
      </c>
      <c r="J35" s="874">
        <f t="shared" si="4"/>
        <v>673</v>
      </c>
      <c r="K35" s="873">
        <f t="shared" si="4"/>
        <v>95155.80000000002</v>
      </c>
      <c r="L35" s="867">
        <f t="shared" si="4"/>
        <v>802</v>
      </c>
      <c r="M35" s="873">
        <f t="shared" si="4"/>
        <v>125941.00000000004</v>
      </c>
      <c r="N35" s="856">
        <f t="shared" si="4"/>
        <v>1475</v>
      </c>
      <c r="O35" s="856">
        <f t="shared" si="4"/>
        <v>4605</v>
      </c>
      <c r="P35" s="856">
        <f t="shared" si="4"/>
        <v>4412</v>
      </c>
      <c r="Q35" s="856">
        <f t="shared" si="4"/>
        <v>0</v>
      </c>
      <c r="R35" s="856">
        <f t="shared" si="4"/>
        <v>89</v>
      </c>
      <c r="S35" s="856">
        <f t="shared" si="4"/>
        <v>0</v>
      </c>
      <c r="T35" s="856">
        <f t="shared" si="4"/>
        <v>89</v>
      </c>
      <c r="U35" s="856">
        <f t="shared" si="4"/>
        <v>0</v>
      </c>
      <c r="V35" s="856">
        <f t="shared" si="4"/>
        <v>0</v>
      </c>
      <c r="W35" s="449">
        <f t="shared" si="4"/>
        <v>3</v>
      </c>
      <c r="X35" s="856">
        <f t="shared" si="4"/>
        <v>696</v>
      </c>
      <c r="Y35" s="449">
        <f t="shared" si="4"/>
        <v>17</v>
      </c>
      <c r="Z35" s="856">
        <f t="shared" si="4"/>
        <v>0</v>
      </c>
      <c r="AA35" s="856">
        <f t="shared" si="4"/>
        <v>153</v>
      </c>
      <c r="AB35" s="856">
        <f t="shared" si="4"/>
        <v>0</v>
      </c>
      <c r="AC35" s="878">
        <f t="shared" si="4"/>
        <v>18315.01</v>
      </c>
      <c r="AD35" s="873">
        <f t="shared" si="4"/>
        <v>3.4</v>
      </c>
    </row>
    <row r="36" spans="1:30" ht="18" customHeight="1">
      <c r="A36" s="858"/>
      <c r="B36" s="859" t="s">
        <v>210</v>
      </c>
      <c r="C36" s="393"/>
      <c r="D36" s="458"/>
      <c r="E36" s="458"/>
      <c r="F36" s="458"/>
      <c r="G36" s="458"/>
      <c r="H36" s="458"/>
      <c r="I36" s="458"/>
      <c r="J36" s="859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859"/>
      <c r="X36" s="458"/>
      <c r="Y36" s="859"/>
      <c r="Z36" s="458"/>
      <c r="AA36" s="458"/>
      <c r="AB36" s="458"/>
      <c r="AC36" s="458"/>
      <c r="AD36" s="879"/>
    </row>
    <row r="37" spans="1:30" ht="18" customHeight="1">
      <c r="A37" s="739"/>
      <c r="B37" s="860"/>
      <c r="C37" s="851"/>
      <c r="D37" s="741"/>
      <c r="E37" s="741"/>
      <c r="F37" s="741"/>
      <c r="G37" s="741"/>
      <c r="H37" s="741"/>
      <c r="I37" s="741"/>
      <c r="J37" s="860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860"/>
      <c r="X37" s="741"/>
      <c r="Y37" s="860"/>
      <c r="Z37" s="741"/>
      <c r="AA37" s="741"/>
      <c r="AB37" s="741"/>
      <c r="AC37" s="741"/>
      <c r="AD37" s="880"/>
    </row>
    <row r="38" spans="1:30" ht="18" customHeight="1">
      <c r="A38" s="861"/>
      <c r="B38" s="862"/>
      <c r="C38" s="398"/>
      <c r="D38" s="459"/>
      <c r="E38" s="459"/>
      <c r="F38" s="459"/>
      <c r="G38" s="459"/>
      <c r="H38" s="459"/>
      <c r="I38" s="459"/>
      <c r="J38" s="862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862"/>
      <c r="X38" s="459"/>
      <c r="Y38" s="862"/>
      <c r="Z38" s="459"/>
      <c r="AA38" s="459"/>
      <c r="AB38" s="459"/>
      <c r="AC38" s="459"/>
      <c r="AD38" s="881"/>
    </row>
    <row r="39" spans="4:26" ht="21.75" customHeight="1">
      <c r="D39" s="447" t="s">
        <v>176</v>
      </c>
      <c r="O39" s="447" t="s">
        <v>177</v>
      </c>
      <c r="Z39" s="447" t="s">
        <v>211</v>
      </c>
    </row>
    <row r="40" ht="21.75" customHeight="1"/>
    <row r="41" ht="21.75" customHeight="1"/>
    <row r="42" spans="4:5" ht="21.75" customHeight="1">
      <c r="D42" s="863"/>
      <c r="E42" s="863"/>
    </row>
    <row r="43" spans="4:5" ht="21.75" customHeight="1">
      <c r="D43" s="863"/>
      <c r="E43" s="863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22">
    <mergeCell ref="A1:AD1"/>
    <mergeCell ref="C3:E3"/>
    <mergeCell ref="F3:H3"/>
    <mergeCell ref="I3:N3"/>
    <mergeCell ref="Q3:T3"/>
    <mergeCell ref="U3:V3"/>
    <mergeCell ref="W3:Y3"/>
    <mergeCell ref="AA3:AB3"/>
    <mergeCell ref="A34:B34"/>
    <mergeCell ref="A35:B35"/>
    <mergeCell ref="B3:B6"/>
    <mergeCell ref="C4:C6"/>
    <mergeCell ref="D4:D6"/>
    <mergeCell ref="E4:E6"/>
    <mergeCell ref="W4:W5"/>
    <mergeCell ref="AD5:AD6"/>
    <mergeCell ref="F4:H5"/>
    <mergeCell ref="I4:J5"/>
    <mergeCell ref="K4:L5"/>
    <mergeCell ref="M4:N5"/>
    <mergeCell ref="U4:V5"/>
    <mergeCell ref="AA4:AB5"/>
  </mergeCells>
  <printOptions horizontalCentered="1" verticalCentered="1"/>
  <pageMargins left="0.4597222222222222" right="0.42986111111111114" top="0.8194444444444444" bottom="0.7298611111111111" header="0.38958333333333334" footer="0.5097222222222222"/>
  <pageSetup fitToHeight="1" fitToWidth="1" horizontalDpi="360" verticalDpi="360" orientation="landscape" paperSize="8" scale="8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40"/>
  <sheetViews>
    <sheetView workbookViewId="0" topLeftCell="A1">
      <pane xSplit="5" ySplit="5" topLeftCell="F24" activePane="bottomRight" state="frozen"/>
      <selection pane="bottomRight" activeCell="AG6" sqref="AG6"/>
    </sheetView>
  </sheetViews>
  <sheetFormatPr defaultColWidth="9.00390625" defaultRowHeight="14.25"/>
  <cols>
    <col min="1" max="1" width="3.125" style="817" customWidth="1"/>
    <col min="2" max="2" width="8.00390625" style="817" customWidth="1"/>
    <col min="3" max="5" width="3.625" style="817" customWidth="1"/>
    <col min="6" max="6" width="10.875" style="818" customWidth="1"/>
    <col min="7" max="7" width="10.25390625" style="818" customWidth="1"/>
    <col min="8" max="8" width="11.125" style="818" customWidth="1"/>
    <col min="9" max="9" width="10.125" style="819" customWidth="1"/>
    <col min="10" max="10" width="6.75390625" style="820" customWidth="1"/>
    <col min="11" max="11" width="11.00390625" style="817" customWidth="1"/>
    <col min="12" max="12" width="8.125" style="817" customWidth="1"/>
    <col min="13" max="13" width="11.625" style="817" customWidth="1"/>
    <col min="14" max="14" width="10.25390625" style="820" customWidth="1"/>
    <col min="15" max="15" width="9.25390625" style="817" customWidth="1"/>
    <col min="16" max="16" width="9.375" style="817" customWidth="1"/>
    <col min="17" max="17" width="7.75390625" style="820" customWidth="1"/>
    <col min="18" max="20" width="7.75390625" style="821" customWidth="1"/>
    <col min="21" max="21" width="9.875" style="821" customWidth="1"/>
    <col min="22" max="22" width="7.75390625" style="821" customWidth="1"/>
    <col min="23" max="23" width="11.875" style="822" customWidth="1"/>
    <col min="24" max="24" width="9.625" style="822" customWidth="1"/>
    <col min="25" max="25" width="7.75390625" style="822" customWidth="1"/>
    <col min="26" max="28" width="7.75390625" style="817" customWidth="1"/>
    <col min="29" max="29" width="13.125" style="817" customWidth="1"/>
    <col min="30" max="30" width="7.75390625" style="817" customWidth="1"/>
    <col min="31" max="31" width="4.375" style="817" customWidth="1"/>
    <col min="32" max="34" width="4.75390625" style="817" customWidth="1"/>
    <col min="35" max="35" width="5.50390625" style="817" customWidth="1"/>
    <col min="36" max="36" width="5.25390625" style="817" customWidth="1"/>
    <col min="37" max="37" width="4.375" style="817" customWidth="1"/>
    <col min="38" max="16384" width="9.00390625" style="817" customWidth="1"/>
  </cols>
  <sheetData>
    <row r="1" spans="1:25" ht="26.25" customHeight="1">
      <c r="A1" s="823" t="s">
        <v>97</v>
      </c>
      <c r="F1" s="817"/>
      <c r="G1" s="817"/>
      <c r="H1" s="817"/>
      <c r="I1" s="817"/>
      <c r="J1" s="817"/>
      <c r="N1" s="817"/>
      <c r="Q1" s="817"/>
      <c r="R1" s="817"/>
      <c r="S1" s="817"/>
      <c r="T1" s="817"/>
      <c r="U1" s="817"/>
      <c r="V1" s="817"/>
      <c r="W1" s="817"/>
      <c r="X1" s="817"/>
      <c r="Y1" s="817"/>
    </row>
    <row r="2" spans="1:30" ht="21" customHeight="1">
      <c r="A2" s="824" t="s">
        <v>98</v>
      </c>
      <c r="B2" s="824"/>
      <c r="C2" s="824"/>
      <c r="D2" s="824"/>
      <c r="E2" s="824"/>
      <c r="F2" s="824"/>
      <c r="V2" s="842" t="s">
        <v>212</v>
      </c>
      <c r="W2" s="842"/>
      <c r="X2" s="842"/>
      <c r="Y2" s="842"/>
      <c r="AB2" s="844" t="s">
        <v>101</v>
      </c>
      <c r="AC2" s="844"/>
      <c r="AD2" s="844"/>
    </row>
    <row r="3" spans="1:30" s="816" customFormat="1" ht="21" customHeight="1">
      <c r="A3" s="825" t="s">
        <v>102</v>
      </c>
      <c r="B3" s="825" t="s">
        <v>103</v>
      </c>
      <c r="C3" s="825" t="s">
        <v>104</v>
      </c>
      <c r="D3" s="825"/>
      <c r="E3" s="825"/>
      <c r="F3" s="826" t="s">
        <v>105</v>
      </c>
      <c r="G3" s="826"/>
      <c r="H3" s="826"/>
      <c r="I3" s="825" t="s">
        <v>106</v>
      </c>
      <c r="J3" s="825"/>
      <c r="K3" s="825"/>
      <c r="L3" s="825"/>
      <c r="M3" s="825"/>
      <c r="N3" s="825"/>
      <c r="O3" s="825" t="s">
        <v>107</v>
      </c>
      <c r="P3" s="825" t="s">
        <v>108</v>
      </c>
      <c r="Q3" s="837" t="s">
        <v>109</v>
      </c>
      <c r="R3" s="837"/>
      <c r="S3" s="837"/>
      <c r="T3" s="837"/>
      <c r="U3" s="839" t="s">
        <v>110</v>
      </c>
      <c r="V3" s="839"/>
      <c r="W3" s="579" t="s">
        <v>111</v>
      </c>
      <c r="X3" s="579"/>
      <c r="Y3" s="579"/>
      <c r="Z3" s="825" t="s">
        <v>112</v>
      </c>
      <c r="AA3" s="825" t="s">
        <v>113</v>
      </c>
      <c r="AB3" s="825"/>
      <c r="AC3" s="825" t="s">
        <v>114</v>
      </c>
      <c r="AD3" s="825" t="s">
        <v>115</v>
      </c>
    </row>
    <row r="4" spans="1:30" s="816" customFormat="1" ht="21" customHeight="1">
      <c r="A4" s="825"/>
      <c r="B4" s="825"/>
      <c r="C4" s="827" t="s">
        <v>116</v>
      </c>
      <c r="D4" s="827" t="s">
        <v>117</v>
      </c>
      <c r="E4" s="827" t="s">
        <v>118</v>
      </c>
      <c r="F4" s="828" t="s">
        <v>119</v>
      </c>
      <c r="G4" s="828"/>
      <c r="H4" s="828"/>
      <c r="I4" s="825" t="s">
        <v>120</v>
      </c>
      <c r="J4" s="825"/>
      <c r="K4" s="825" t="s">
        <v>121</v>
      </c>
      <c r="L4" s="825"/>
      <c r="M4" s="825" t="s">
        <v>122</v>
      </c>
      <c r="N4" s="825"/>
      <c r="O4" s="825"/>
      <c r="P4" s="825" t="s">
        <v>123</v>
      </c>
      <c r="Q4" s="837"/>
      <c r="R4" s="839"/>
      <c r="S4" s="839"/>
      <c r="T4" s="839"/>
      <c r="U4" s="839" t="s">
        <v>124</v>
      </c>
      <c r="V4" s="839"/>
      <c r="W4" s="579" t="s">
        <v>125</v>
      </c>
      <c r="X4" s="579" t="s">
        <v>126</v>
      </c>
      <c r="Y4" s="579" t="s">
        <v>126</v>
      </c>
      <c r="Z4" s="825" t="s">
        <v>127</v>
      </c>
      <c r="AA4" s="825" t="s">
        <v>128</v>
      </c>
      <c r="AB4" s="825"/>
      <c r="AC4" s="825" t="s">
        <v>129</v>
      </c>
      <c r="AD4" s="825" t="s">
        <v>130</v>
      </c>
    </row>
    <row r="5" spans="1:30" s="816" customFormat="1" ht="21" customHeight="1">
      <c r="A5" s="825"/>
      <c r="B5" s="825"/>
      <c r="C5" s="827"/>
      <c r="D5" s="827"/>
      <c r="E5" s="827"/>
      <c r="F5" s="828"/>
      <c r="G5" s="828"/>
      <c r="H5" s="828"/>
      <c r="I5" s="825"/>
      <c r="J5" s="825"/>
      <c r="K5" s="825"/>
      <c r="L5" s="825"/>
      <c r="M5" s="825"/>
      <c r="N5" s="825"/>
      <c r="O5" s="825" t="s">
        <v>131</v>
      </c>
      <c r="P5" s="825" t="s">
        <v>132</v>
      </c>
      <c r="Q5" s="837"/>
      <c r="R5" s="839" t="s">
        <v>133</v>
      </c>
      <c r="S5" s="839"/>
      <c r="T5" s="839"/>
      <c r="U5" s="839"/>
      <c r="V5" s="839"/>
      <c r="W5" s="579"/>
      <c r="X5" s="579"/>
      <c r="Y5" s="579"/>
      <c r="Z5" s="825" t="s">
        <v>134</v>
      </c>
      <c r="AA5" s="825"/>
      <c r="AB5" s="825"/>
      <c r="AC5" s="825" t="s">
        <v>135</v>
      </c>
      <c r="AD5" s="845" t="s">
        <v>136</v>
      </c>
    </row>
    <row r="6" spans="1:30" s="816" customFormat="1" ht="27.75" customHeight="1">
      <c r="A6" s="825" t="s">
        <v>137</v>
      </c>
      <c r="B6" s="825"/>
      <c r="C6" s="827"/>
      <c r="D6" s="827"/>
      <c r="E6" s="827"/>
      <c r="F6" s="826" t="s">
        <v>120</v>
      </c>
      <c r="G6" s="826" t="s">
        <v>121</v>
      </c>
      <c r="H6" s="826" t="s">
        <v>122</v>
      </c>
      <c r="I6" s="836" t="s">
        <v>138</v>
      </c>
      <c r="J6" s="837" t="s">
        <v>139</v>
      </c>
      <c r="K6" s="825" t="s">
        <v>138</v>
      </c>
      <c r="L6" s="825" t="s">
        <v>139</v>
      </c>
      <c r="M6" s="825" t="s">
        <v>138</v>
      </c>
      <c r="N6" s="837" t="s">
        <v>139</v>
      </c>
      <c r="O6" s="825" t="s">
        <v>128</v>
      </c>
      <c r="P6" s="825" t="s">
        <v>128</v>
      </c>
      <c r="Q6" s="843" t="s">
        <v>140</v>
      </c>
      <c r="R6" s="839" t="s">
        <v>141</v>
      </c>
      <c r="S6" s="839" t="s">
        <v>142</v>
      </c>
      <c r="T6" s="839" t="s">
        <v>122</v>
      </c>
      <c r="U6" s="839" t="s">
        <v>138</v>
      </c>
      <c r="V6" s="839" t="s">
        <v>139</v>
      </c>
      <c r="W6" s="579"/>
      <c r="X6" s="579" t="s">
        <v>143</v>
      </c>
      <c r="Y6" s="579" t="s">
        <v>144</v>
      </c>
      <c r="Z6" s="825" t="s">
        <v>145</v>
      </c>
      <c r="AA6" s="845" t="s">
        <v>146</v>
      </c>
      <c r="AB6" s="845" t="s">
        <v>147</v>
      </c>
      <c r="AC6" s="825" t="s">
        <v>148</v>
      </c>
      <c r="AD6" s="845"/>
    </row>
    <row r="7" spans="1:30" ht="27.75" customHeight="1">
      <c r="A7" s="579">
        <v>1</v>
      </c>
      <c r="B7" s="579" t="s">
        <v>213</v>
      </c>
      <c r="C7" s="829" t="s">
        <v>150</v>
      </c>
      <c r="D7" s="829"/>
      <c r="E7" s="829"/>
      <c r="F7" s="830">
        <v>9.51</v>
      </c>
      <c r="G7" s="830">
        <v>0.12</v>
      </c>
      <c r="H7" s="830">
        <f>F7+G7</f>
        <v>9.629999999999999</v>
      </c>
      <c r="I7" s="838">
        <v>4800</v>
      </c>
      <c r="J7" s="839">
        <v>24</v>
      </c>
      <c r="K7" s="579">
        <v>8125</v>
      </c>
      <c r="L7" s="579">
        <v>33</v>
      </c>
      <c r="M7" s="839">
        <f aca="true" t="shared" si="0" ref="M7:N10">I7+K7</f>
        <v>12925</v>
      </c>
      <c r="N7" s="839">
        <f t="shared" si="0"/>
        <v>57</v>
      </c>
      <c r="O7" s="579">
        <f>(J7+L7)*3</f>
        <v>171</v>
      </c>
      <c r="P7" s="579">
        <f>O7</f>
        <v>171</v>
      </c>
      <c r="Q7" s="839"/>
      <c r="R7" s="579">
        <v>7</v>
      </c>
      <c r="S7" s="839"/>
      <c r="T7" s="839">
        <f>Q7+R7+S7</f>
        <v>7</v>
      </c>
      <c r="U7" s="839"/>
      <c r="V7" s="839"/>
      <c r="W7" s="579">
        <v>3990</v>
      </c>
      <c r="X7" s="839">
        <v>24</v>
      </c>
      <c r="Y7" s="579">
        <v>24</v>
      </c>
      <c r="Z7" s="579">
        <v>24</v>
      </c>
      <c r="AA7" s="579">
        <v>98</v>
      </c>
      <c r="AB7" s="579"/>
      <c r="AC7" s="579">
        <v>2511.08</v>
      </c>
      <c r="AD7" s="846">
        <v>6.9</v>
      </c>
    </row>
    <row r="8" spans="1:30" ht="27.75" customHeight="1">
      <c r="A8" s="579">
        <v>2</v>
      </c>
      <c r="B8" s="579" t="s">
        <v>213</v>
      </c>
      <c r="C8" s="829" t="s">
        <v>150</v>
      </c>
      <c r="D8" s="829"/>
      <c r="E8" s="829"/>
      <c r="F8" s="830">
        <v>6.92</v>
      </c>
      <c r="G8" s="830">
        <v>0.54</v>
      </c>
      <c r="H8" s="830">
        <f aca="true" t="shared" si="1" ref="H8:H32">F8+G8</f>
        <v>7.46</v>
      </c>
      <c r="I8" s="838">
        <v>1440</v>
      </c>
      <c r="J8" s="839">
        <v>10</v>
      </c>
      <c r="K8" s="579">
        <v>1905</v>
      </c>
      <c r="L8" s="579">
        <v>11</v>
      </c>
      <c r="M8" s="839">
        <f t="shared" si="0"/>
        <v>3345</v>
      </c>
      <c r="N8" s="839">
        <f t="shared" si="0"/>
        <v>21</v>
      </c>
      <c r="O8" s="579">
        <f aca="true" t="shared" si="2" ref="O8:O32">(J8+L8)*3</f>
        <v>63</v>
      </c>
      <c r="P8" s="579">
        <f aca="true" t="shared" si="3" ref="P8:P32">O8</f>
        <v>63</v>
      </c>
      <c r="Q8" s="839"/>
      <c r="R8" s="579">
        <v>3</v>
      </c>
      <c r="S8" s="839"/>
      <c r="T8" s="839">
        <f aca="true" t="shared" si="4" ref="T8:T32">Q8+R8+S8</f>
        <v>3</v>
      </c>
      <c r="U8" s="839"/>
      <c r="V8" s="839"/>
      <c r="W8" s="579">
        <v>2100</v>
      </c>
      <c r="X8" s="839">
        <v>10</v>
      </c>
      <c r="Y8" s="579">
        <v>8</v>
      </c>
      <c r="Z8" s="579">
        <v>8</v>
      </c>
      <c r="AA8" s="579">
        <v>124</v>
      </c>
      <c r="AB8" s="579"/>
      <c r="AC8" s="579">
        <v>501.66</v>
      </c>
      <c r="AD8" s="846">
        <v>6.82</v>
      </c>
    </row>
    <row r="9" spans="1:30" ht="27.75" customHeight="1">
      <c r="A9" s="579">
        <v>3</v>
      </c>
      <c r="B9" s="579" t="s">
        <v>214</v>
      </c>
      <c r="C9" s="829" t="s">
        <v>150</v>
      </c>
      <c r="D9" s="829"/>
      <c r="E9" s="829"/>
      <c r="F9" s="830">
        <v>4.33</v>
      </c>
      <c r="G9" s="830">
        <v>0.21</v>
      </c>
      <c r="H9" s="830">
        <f t="shared" si="1"/>
        <v>4.54</v>
      </c>
      <c r="I9" s="838">
        <v>1130</v>
      </c>
      <c r="J9" s="839">
        <v>6</v>
      </c>
      <c r="K9" s="579">
        <v>2840</v>
      </c>
      <c r="L9" s="579">
        <v>13</v>
      </c>
      <c r="M9" s="839">
        <f t="shared" si="0"/>
        <v>3970</v>
      </c>
      <c r="N9" s="839">
        <f t="shared" si="0"/>
        <v>19</v>
      </c>
      <c r="O9" s="579">
        <f t="shared" si="2"/>
        <v>57</v>
      </c>
      <c r="P9" s="579">
        <f t="shared" si="3"/>
        <v>57</v>
      </c>
      <c r="Q9" s="839"/>
      <c r="R9" s="579">
        <v>0</v>
      </c>
      <c r="S9" s="839"/>
      <c r="T9" s="839">
        <f t="shared" si="4"/>
        <v>0</v>
      </c>
      <c r="U9" s="839"/>
      <c r="V9" s="839"/>
      <c r="W9" s="579">
        <v>1600</v>
      </c>
      <c r="X9" s="839">
        <v>6</v>
      </c>
      <c r="Y9" s="579">
        <v>6</v>
      </c>
      <c r="Z9" s="579">
        <v>6</v>
      </c>
      <c r="AA9" s="829">
        <v>18</v>
      </c>
      <c r="AB9" s="579"/>
      <c r="AC9" s="579">
        <v>549.3185</v>
      </c>
      <c r="AD9" s="846">
        <v>6.91</v>
      </c>
    </row>
    <row r="10" spans="1:30" ht="27.75" customHeight="1">
      <c r="A10" s="579">
        <v>4</v>
      </c>
      <c r="B10" s="579" t="s">
        <v>214</v>
      </c>
      <c r="C10" s="829" t="s">
        <v>150</v>
      </c>
      <c r="D10" s="829"/>
      <c r="E10" s="829"/>
      <c r="F10" s="830">
        <v>3.37</v>
      </c>
      <c r="G10" s="830">
        <v>0.38</v>
      </c>
      <c r="H10" s="830">
        <f t="shared" si="1"/>
        <v>3.75</v>
      </c>
      <c r="I10" s="838">
        <v>1920</v>
      </c>
      <c r="J10" s="839">
        <v>6</v>
      </c>
      <c r="K10" s="579">
        <v>1015</v>
      </c>
      <c r="L10" s="579">
        <v>8</v>
      </c>
      <c r="M10" s="839">
        <f t="shared" si="0"/>
        <v>2935</v>
      </c>
      <c r="N10" s="839">
        <f t="shared" si="0"/>
        <v>14</v>
      </c>
      <c r="O10" s="579">
        <f t="shared" si="2"/>
        <v>42</v>
      </c>
      <c r="P10" s="579">
        <f t="shared" si="3"/>
        <v>42</v>
      </c>
      <c r="Q10" s="839"/>
      <c r="R10" s="579">
        <v>2</v>
      </c>
      <c r="S10" s="839"/>
      <c r="T10" s="839">
        <f t="shared" si="4"/>
        <v>2</v>
      </c>
      <c r="U10" s="839"/>
      <c r="V10" s="839"/>
      <c r="W10" s="579">
        <v>440</v>
      </c>
      <c r="X10" s="839">
        <v>6</v>
      </c>
      <c r="Y10" s="579">
        <v>6</v>
      </c>
      <c r="Z10" s="579">
        <v>6</v>
      </c>
      <c r="AA10" s="579">
        <v>18</v>
      </c>
      <c r="AB10" s="579"/>
      <c r="AC10" s="579">
        <v>82.3688</v>
      </c>
      <c r="AD10" s="846">
        <v>6.78</v>
      </c>
    </row>
    <row r="11" spans="1:30" ht="27.75" customHeight="1">
      <c r="A11" s="579">
        <v>5</v>
      </c>
      <c r="B11" s="579" t="s">
        <v>215</v>
      </c>
      <c r="C11" s="579"/>
      <c r="D11" s="829" t="s">
        <v>150</v>
      </c>
      <c r="E11" s="579"/>
      <c r="F11" s="830">
        <f>14.62+8.718</f>
        <v>23.338</v>
      </c>
      <c r="G11" s="830">
        <v>0.65</v>
      </c>
      <c r="H11" s="830">
        <f t="shared" si="1"/>
        <v>23.988</v>
      </c>
      <c r="I11" s="838">
        <v>2500</v>
      </c>
      <c r="J11" s="839">
        <v>22</v>
      </c>
      <c r="K11" s="579">
        <v>4115</v>
      </c>
      <c r="L11" s="579">
        <v>29</v>
      </c>
      <c r="M11" s="579">
        <v>7855</v>
      </c>
      <c r="N11" s="839">
        <v>47</v>
      </c>
      <c r="O11" s="579">
        <v>141</v>
      </c>
      <c r="P11" s="579">
        <f t="shared" si="3"/>
        <v>141</v>
      </c>
      <c r="Q11" s="839"/>
      <c r="R11" s="488">
        <v>3</v>
      </c>
      <c r="S11" s="839"/>
      <c r="T11" s="839">
        <f t="shared" si="4"/>
        <v>3</v>
      </c>
      <c r="U11" s="839">
        <v>850</v>
      </c>
      <c r="V11" s="839">
        <v>7</v>
      </c>
      <c r="W11" s="579">
        <v>3209</v>
      </c>
      <c r="X11" s="839">
        <v>22</v>
      </c>
      <c r="Y11" s="579">
        <v>6</v>
      </c>
      <c r="Z11" s="579">
        <v>3</v>
      </c>
      <c r="AA11" s="829">
        <v>81</v>
      </c>
      <c r="AB11" s="579"/>
      <c r="AC11" s="579">
        <v>1431.1045</v>
      </c>
      <c r="AD11" s="846">
        <v>4.22</v>
      </c>
    </row>
    <row r="12" spans="1:30" ht="27.75" customHeight="1">
      <c r="A12" s="579">
        <v>6</v>
      </c>
      <c r="B12" s="579" t="s">
        <v>216</v>
      </c>
      <c r="C12" s="579"/>
      <c r="D12" s="829" t="s">
        <v>150</v>
      </c>
      <c r="E12" s="579"/>
      <c r="F12" s="830">
        <f>26.58+1.93</f>
        <v>28.509999999999998</v>
      </c>
      <c r="G12" s="830">
        <v>0.42</v>
      </c>
      <c r="H12" s="830">
        <f t="shared" si="1"/>
        <v>28.93</v>
      </c>
      <c r="I12" s="838">
        <v>910</v>
      </c>
      <c r="J12" s="839">
        <v>19</v>
      </c>
      <c r="K12" s="579">
        <v>4641.3</v>
      </c>
      <c r="L12" s="579">
        <v>38</v>
      </c>
      <c r="M12" s="579">
        <v>5581.3</v>
      </c>
      <c r="N12" s="839">
        <v>59</v>
      </c>
      <c r="O12" s="579">
        <v>177</v>
      </c>
      <c r="P12" s="579">
        <f t="shared" si="3"/>
        <v>177</v>
      </c>
      <c r="Q12" s="839"/>
      <c r="R12" s="488"/>
      <c r="S12" s="839"/>
      <c r="T12" s="839">
        <f t="shared" si="4"/>
        <v>0</v>
      </c>
      <c r="U12" s="839">
        <v>1100</v>
      </c>
      <c r="V12" s="839">
        <v>12</v>
      </c>
      <c r="W12" s="579">
        <v>1700</v>
      </c>
      <c r="X12" s="839">
        <v>19</v>
      </c>
      <c r="Y12" s="579">
        <v>12</v>
      </c>
      <c r="Z12" s="579">
        <v>4</v>
      </c>
      <c r="AA12" s="579">
        <v>33</v>
      </c>
      <c r="AB12" s="579"/>
      <c r="AC12" s="579">
        <v>616.046</v>
      </c>
      <c r="AD12" s="846">
        <v>1.05</v>
      </c>
    </row>
    <row r="13" spans="1:30" ht="27.75" customHeight="1">
      <c r="A13" s="579">
        <v>7</v>
      </c>
      <c r="B13" s="579" t="s">
        <v>217</v>
      </c>
      <c r="C13" s="579"/>
      <c r="D13" s="829" t="s">
        <v>150</v>
      </c>
      <c r="E13" s="579"/>
      <c r="F13" s="830">
        <v>58.88</v>
      </c>
      <c r="G13" s="830">
        <v>1.12</v>
      </c>
      <c r="H13" s="830">
        <f t="shared" si="1"/>
        <v>60</v>
      </c>
      <c r="I13" s="838">
        <v>840</v>
      </c>
      <c r="J13" s="839">
        <v>25</v>
      </c>
      <c r="K13" s="579">
        <v>1055</v>
      </c>
      <c r="L13" s="579">
        <v>18</v>
      </c>
      <c r="M13" s="579">
        <v>2035</v>
      </c>
      <c r="N13" s="839">
        <v>44</v>
      </c>
      <c r="O13" s="579">
        <v>132</v>
      </c>
      <c r="P13" s="579">
        <f t="shared" si="3"/>
        <v>132</v>
      </c>
      <c r="Q13" s="839"/>
      <c r="R13" s="488">
        <v>1</v>
      </c>
      <c r="S13" s="839"/>
      <c r="T13" s="839">
        <f t="shared" si="4"/>
        <v>1</v>
      </c>
      <c r="U13" s="839">
        <v>650</v>
      </c>
      <c r="V13" s="839">
        <v>3</v>
      </c>
      <c r="W13" s="579">
        <v>1266</v>
      </c>
      <c r="X13" s="839">
        <v>25</v>
      </c>
      <c r="Y13" s="579">
        <v>4</v>
      </c>
      <c r="Z13" s="579">
        <v>3</v>
      </c>
      <c r="AA13" s="579">
        <v>12</v>
      </c>
      <c r="AB13" s="579"/>
      <c r="AC13" s="579">
        <v>165.6076</v>
      </c>
      <c r="AD13" s="846">
        <v>6.11</v>
      </c>
    </row>
    <row r="14" spans="1:30" ht="27.75" customHeight="1">
      <c r="A14" s="579">
        <v>8</v>
      </c>
      <c r="B14" s="579" t="s">
        <v>218</v>
      </c>
      <c r="C14" s="579"/>
      <c r="D14" s="829" t="s">
        <v>150</v>
      </c>
      <c r="E14" s="579"/>
      <c r="F14" s="830">
        <v>1.988</v>
      </c>
      <c r="G14" s="830"/>
      <c r="H14" s="830">
        <f t="shared" si="1"/>
        <v>1.988</v>
      </c>
      <c r="I14" s="838"/>
      <c r="J14" s="839"/>
      <c r="K14" s="825">
        <v>1000</v>
      </c>
      <c r="L14" s="825">
        <v>1</v>
      </c>
      <c r="M14" s="579">
        <v>1000</v>
      </c>
      <c r="N14" s="839">
        <v>1</v>
      </c>
      <c r="O14" s="579">
        <f t="shared" si="2"/>
        <v>3</v>
      </c>
      <c r="P14" s="579">
        <f t="shared" si="3"/>
        <v>3</v>
      </c>
      <c r="Q14" s="839"/>
      <c r="R14" s="488"/>
      <c r="S14" s="839"/>
      <c r="T14" s="839">
        <f t="shared" si="4"/>
        <v>0</v>
      </c>
      <c r="U14" s="839"/>
      <c r="V14" s="839"/>
      <c r="W14" s="840"/>
      <c r="X14" s="839"/>
      <c r="Y14" s="840"/>
      <c r="Z14" s="840"/>
      <c r="AA14" s="840"/>
      <c r="AB14" s="840"/>
      <c r="AC14" s="840"/>
      <c r="AD14" s="846"/>
    </row>
    <row r="15" spans="1:30" ht="27.75" customHeight="1">
      <c r="A15" s="579">
        <v>9</v>
      </c>
      <c r="B15" s="579" t="s">
        <v>219</v>
      </c>
      <c r="C15" s="579"/>
      <c r="D15" s="829" t="s">
        <v>150</v>
      </c>
      <c r="E15" s="579"/>
      <c r="F15" s="830">
        <v>28.9</v>
      </c>
      <c r="G15" s="830">
        <v>0.35</v>
      </c>
      <c r="H15" s="830">
        <f t="shared" si="1"/>
        <v>29.25</v>
      </c>
      <c r="I15" s="838">
        <v>690</v>
      </c>
      <c r="J15" s="839">
        <v>19</v>
      </c>
      <c r="K15" s="579">
        <v>1515</v>
      </c>
      <c r="L15" s="579">
        <v>1</v>
      </c>
      <c r="M15" s="579">
        <v>2205</v>
      </c>
      <c r="N15" s="839">
        <v>27</v>
      </c>
      <c r="O15" s="579">
        <v>81</v>
      </c>
      <c r="P15" s="579">
        <f t="shared" si="3"/>
        <v>81</v>
      </c>
      <c r="Q15" s="839"/>
      <c r="R15" s="488">
        <v>1</v>
      </c>
      <c r="S15" s="839"/>
      <c r="T15" s="839">
        <f t="shared" si="4"/>
        <v>1</v>
      </c>
      <c r="U15" s="839"/>
      <c r="V15" s="839"/>
      <c r="W15" s="579">
        <v>1079</v>
      </c>
      <c r="X15" s="839">
        <v>19</v>
      </c>
      <c r="Y15" s="579">
        <v>1</v>
      </c>
      <c r="Z15" s="579"/>
      <c r="AA15" s="579"/>
      <c r="AB15" s="579"/>
      <c r="AC15" s="579">
        <v>952.2544</v>
      </c>
      <c r="AD15" s="847">
        <v>1.55</v>
      </c>
    </row>
    <row r="16" spans="1:30" ht="27.75" customHeight="1">
      <c r="A16" s="579">
        <v>10</v>
      </c>
      <c r="B16" s="579" t="s">
        <v>220</v>
      </c>
      <c r="C16" s="579"/>
      <c r="D16" s="829" t="s">
        <v>150</v>
      </c>
      <c r="E16" s="579"/>
      <c r="F16" s="830">
        <v>39.296</v>
      </c>
      <c r="G16" s="830">
        <f>0.29+0.2</f>
        <v>0.49</v>
      </c>
      <c r="H16" s="830">
        <f t="shared" si="1"/>
        <v>39.786</v>
      </c>
      <c r="I16" s="838">
        <v>1340</v>
      </c>
      <c r="J16" s="839">
        <v>34</v>
      </c>
      <c r="K16" s="579">
        <f>446.3+630+500+500+400</f>
        <v>2476.3</v>
      </c>
      <c r="L16" s="579">
        <f>14+4</f>
        <v>18</v>
      </c>
      <c r="M16" s="840">
        <f aca="true" t="shared" si="5" ref="M16:N31">I16+K16</f>
        <v>3816.3</v>
      </c>
      <c r="N16" s="839">
        <f t="shared" si="5"/>
        <v>52</v>
      </c>
      <c r="O16" s="579">
        <f t="shared" si="2"/>
        <v>156</v>
      </c>
      <c r="P16" s="579">
        <f t="shared" si="3"/>
        <v>156</v>
      </c>
      <c r="Q16" s="839"/>
      <c r="R16" s="488"/>
      <c r="S16" s="839"/>
      <c r="T16" s="839">
        <f t="shared" si="4"/>
        <v>0</v>
      </c>
      <c r="U16" s="839"/>
      <c r="V16" s="839">
        <v>1</v>
      </c>
      <c r="W16" s="579">
        <v>1793</v>
      </c>
      <c r="X16" s="839">
        <v>34</v>
      </c>
      <c r="Y16" s="579"/>
      <c r="Z16" s="579"/>
      <c r="AA16" s="579">
        <v>3</v>
      </c>
      <c r="AB16" s="579"/>
      <c r="AC16" s="579">
        <v>197.3258</v>
      </c>
      <c r="AD16" s="847">
        <v>7.86</v>
      </c>
    </row>
    <row r="17" spans="1:30" ht="27.75" customHeight="1">
      <c r="A17" s="579">
        <v>11</v>
      </c>
      <c r="B17" s="579" t="s">
        <v>221</v>
      </c>
      <c r="C17" s="579"/>
      <c r="D17" s="829" t="s">
        <v>150</v>
      </c>
      <c r="E17" s="579"/>
      <c r="F17" s="830">
        <v>37.911</v>
      </c>
      <c r="G17" s="830">
        <v>0.42</v>
      </c>
      <c r="H17" s="830">
        <f t="shared" si="1"/>
        <v>38.331</v>
      </c>
      <c r="I17" s="838">
        <v>700</v>
      </c>
      <c r="J17" s="839">
        <v>23</v>
      </c>
      <c r="K17" s="579">
        <v>1662.6</v>
      </c>
      <c r="L17" s="579">
        <v>14</v>
      </c>
      <c r="M17" s="840">
        <f t="shared" si="5"/>
        <v>2362.6</v>
      </c>
      <c r="N17" s="839">
        <f t="shared" si="5"/>
        <v>37</v>
      </c>
      <c r="O17" s="579">
        <f t="shared" si="2"/>
        <v>111</v>
      </c>
      <c r="P17" s="579">
        <f t="shared" si="3"/>
        <v>111</v>
      </c>
      <c r="Q17" s="839"/>
      <c r="R17" s="488">
        <v>2</v>
      </c>
      <c r="S17" s="839"/>
      <c r="T17" s="839">
        <f t="shared" si="4"/>
        <v>2</v>
      </c>
      <c r="U17" s="839"/>
      <c r="V17" s="839">
        <v>1</v>
      </c>
      <c r="W17" s="579">
        <v>1196</v>
      </c>
      <c r="X17" s="839">
        <v>23</v>
      </c>
      <c r="Y17" s="579">
        <v>4</v>
      </c>
      <c r="Z17" s="579">
        <v>1</v>
      </c>
      <c r="AA17" s="579">
        <v>21</v>
      </c>
      <c r="AB17" s="579"/>
      <c r="AC17" s="579">
        <v>317.0498</v>
      </c>
      <c r="AD17" s="847">
        <v>-3.46</v>
      </c>
    </row>
    <row r="18" spans="1:30" ht="27.75" customHeight="1">
      <c r="A18" s="579">
        <v>12</v>
      </c>
      <c r="B18" s="579" t="s">
        <v>222</v>
      </c>
      <c r="C18" s="579"/>
      <c r="D18" s="829" t="s">
        <v>150</v>
      </c>
      <c r="E18" s="579"/>
      <c r="F18" s="830">
        <v>19.665</v>
      </c>
      <c r="G18" s="830">
        <v>0.82</v>
      </c>
      <c r="H18" s="830">
        <f t="shared" si="1"/>
        <v>20.485</v>
      </c>
      <c r="I18" s="838">
        <v>410</v>
      </c>
      <c r="J18" s="839">
        <v>13</v>
      </c>
      <c r="K18" s="579">
        <v>146.3</v>
      </c>
      <c r="L18" s="579">
        <v>1</v>
      </c>
      <c r="M18" s="840">
        <f t="shared" si="5"/>
        <v>556.3</v>
      </c>
      <c r="N18" s="839">
        <f t="shared" si="5"/>
        <v>14</v>
      </c>
      <c r="O18" s="579">
        <f t="shared" si="2"/>
        <v>42</v>
      </c>
      <c r="P18" s="579">
        <f t="shared" si="3"/>
        <v>42</v>
      </c>
      <c r="Q18" s="839"/>
      <c r="R18" s="488"/>
      <c r="S18" s="839"/>
      <c r="T18" s="839">
        <f t="shared" si="4"/>
        <v>0</v>
      </c>
      <c r="U18" s="839"/>
      <c r="V18" s="839">
        <v>1</v>
      </c>
      <c r="W18" s="579">
        <v>751</v>
      </c>
      <c r="X18" s="839">
        <v>13</v>
      </c>
      <c r="Y18" s="579"/>
      <c r="Z18" s="579"/>
      <c r="AA18" s="579"/>
      <c r="AB18" s="579"/>
      <c r="AC18" s="579">
        <v>40.3394</v>
      </c>
      <c r="AD18" s="847">
        <v>4.67</v>
      </c>
    </row>
    <row r="19" spans="1:30" ht="27.75" customHeight="1">
      <c r="A19" s="579">
        <v>13</v>
      </c>
      <c r="B19" s="579" t="s">
        <v>223</v>
      </c>
      <c r="C19" s="579"/>
      <c r="D19" s="829" t="s">
        <v>150</v>
      </c>
      <c r="E19" s="579"/>
      <c r="F19" s="830">
        <v>55.242</v>
      </c>
      <c r="G19" s="830">
        <v>1.52</v>
      </c>
      <c r="H19" s="830">
        <f t="shared" si="1"/>
        <v>56.762</v>
      </c>
      <c r="I19" s="838">
        <v>980</v>
      </c>
      <c r="J19" s="839">
        <v>19</v>
      </c>
      <c r="K19" s="579">
        <v>202.6</v>
      </c>
      <c r="L19" s="579">
        <v>4</v>
      </c>
      <c r="M19" s="840">
        <f t="shared" si="5"/>
        <v>1182.6</v>
      </c>
      <c r="N19" s="839">
        <f t="shared" si="5"/>
        <v>23</v>
      </c>
      <c r="O19" s="579">
        <f t="shared" si="2"/>
        <v>69</v>
      </c>
      <c r="P19" s="579">
        <f t="shared" si="3"/>
        <v>69</v>
      </c>
      <c r="Q19" s="839"/>
      <c r="R19" s="488"/>
      <c r="S19" s="839"/>
      <c r="T19" s="839">
        <f t="shared" si="4"/>
        <v>0</v>
      </c>
      <c r="U19" s="839">
        <v>1350</v>
      </c>
      <c r="V19" s="839">
        <v>17</v>
      </c>
      <c r="W19" s="579">
        <v>911</v>
      </c>
      <c r="X19" s="839">
        <v>19</v>
      </c>
      <c r="Y19" s="579"/>
      <c r="Z19" s="579"/>
      <c r="AA19" s="579"/>
      <c r="AB19" s="579"/>
      <c r="AC19" s="579">
        <v>101.1433</v>
      </c>
      <c r="AD19" s="847">
        <v>2.8</v>
      </c>
    </row>
    <row r="20" spans="1:30" ht="27.75" customHeight="1">
      <c r="A20" s="579">
        <v>14</v>
      </c>
      <c r="B20" s="579" t="s">
        <v>224</v>
      </c>
      <c r="C20" s="579"/>
      <c r="D20" s="829"/>
      <c r="E20" s="829" t="s">
        <v>150</v>
      </c>
      <c r="F20" s="830"/>
      <c r="G20" s="830">
        <v>85</v>
      </c>
      <c r="H20" s="830">
        <f t="shared" si="1"/>
        <v>85</v>
      </c>
      <c r="I20" s="838">
        <v>0</v>
      </c>
      <c r="J20" s="839">
        <v>0</v>
      </c>
      <c r="K20" s="579">
        <v>6630.4</v>
      </c>
      <c r="L20" s="579">
        <v>79</v>
      </c>
      <c r="M20" s="840">
        <f t="shared" si="5"/>
        <v>6630.4</v>
      </c>
      <c r="N20" s="839">
        <f t="shared" si="5"/>
        <v>79</v>
      </c>
      <c r="O20" s="579">
        <f t="shared" si="2"/>
        <v>237</v>
      </c>
      <c r="P20" s="579">
        <f t="shared" si="3"/>
        <v>237</v>
      </c>
      <c r="Q20" s="839"/>
      <c r="R20" s="488"/>
      <c r="S20" s="839"/>
      <c r="T20" s="839">
        <f t="shared" si="4"/>
        <v>0</v>
      </c>
      <c r="U20" s="839">
        <v>600</v>
      </c>
      <c r="V20" s="839">
        <v>2</v>
      </c>
      <c r="W20" s="579">
        <v>0</v>
      </c>
      <c r="X20" s="839">
        <v>0</v>
      </c>
      <c r="Y20" s="579"/>
      <c r="Z20" s="579"/>
      <c r="AA20" s="579">
        <v>3</v>
      </c>
      <c r="AB20" s="579"/>
      <c r="AC20" s="579">
        <v>1710.597</v>
      </c>
      <c r="AD20" s="846">
        <v>0</v>
      </c>
    </row>
    <row r="21" spans="1:30" ht="27.75" customHeight="1">
      <c r="A21" s="579">
        <v>15</v>
      </c>
      <c r="B21" s="579" t="s">
        <v>225</v>
      </c>
      <c r="C21" s="579"/>
      <c r="D21" s="829" t="s">
        <v>150</v>
      </c>
      <c r="E21" s="579"/>
      <c r="F21" s="830">
        <v>39.368</v>
      </c>
      <c r="G21" s="830">
        <v>1.23</v>
      </c>
      <c r="H21" s="830">
        <f t="shared" si="1"/>
        <v>40.598</v>
      </c>
      <c r="I21" s="838">
        <v>730</v>
      </c>
      <c r="J21" s="839">
        <v>21</v>
      </c>
      <c r="K21" s="579">
        <v>800</v>
      </c>
      <c r="L21" s="579">
        <v>6</v>
      </c>
      <c r="M21" s="840">
        <f t="shared" si="5"/>
        <v>1530</v>
      </c>
      <c r="N21" s="839">
        <f t="shared" si="5"/>
        <v>27</v>
      </c>
      <c r="O21" s="579">
        <f t="shared" si="2"/>
        <v>81</v>
      </c>
      <c r="P21" s="579">
        <f t="shared" si="3"/>
        <v>81</v>
      </c>
      <c r="Q21" s="839"/>
      <c r="R21" s="488">
        <v>2</v>
      </c>
      <c r="S21" s="839"/>
      <c r="T21" s="839">
        <f t="shared" si="4"/>
        <v>2</v>
      </c>
      <c r="U21" s="839"/>
      <c r="V21" s="839"/>
      <c r="W21" s="579">
        <v>1375</v>
      </c>
      <c r="X21" s="839">
        <v>21</v>
      </c>
      <c r="Y21" s="579">
        <v>4</v>
      </c>
      <c r="Z21" s="579"/>
      <c r="AA21" s="579">
        <v>12</v>
      </c>
      <c r="AB21" s="579"/>
      <c r="AC21" s="579">
        <v>194.2056</v>
      </c>
      <c r="AD21" s="847">
        <v>0.42</v>
      </c>
    </row>
    <row r="22" spans="1:30" ht="27.75" customHeight="1">
      <c r="A22" s="579">
        <v>16</v>
      </c>
      <c r="B22" s="579" t="s">
        <v>226</v>
      </c>
      <c r="C22" s="579"/>
      <c r="D22" s="829" t="s">
        <v>150</v>
      </c>
      <c r="E22" s="579"/>
      <c r="F22" s="830">
        <v>14.98</v>
      </c>
      <c r="G22" s="830">
        <v>1.02</v>
      </c>
      <c r="H22" s="830">
        <f t="shared" si="1"/>
        <v>16</v>
      </c>
      <c r="I22" s="838">
        <v>70</v>
      </c>
      <c r="J22" s="839">
        <v>3</v>
      </c>
      <c r="K22" s="579">
        <v>40</v>
      </c>
      <c r="L22" s="579">
        <v>2</v>
      </c>
      <c r="M22" s="840">
        <f t="shared" si="5"/>
        <v>110</v>
      </c>
      <c r="N22" s="839">
        <f t="shared" si="5"/>
        <v>5</v>
      </c>
      <c r="O22" s="579">
        <f t="shared" si="2"/>
        <v>15</v>
      </c>
      <c r="P22" s="579">
        <f t="shared" si="3"/>
        <v>15</v>
      </c>
      <c r="Q22" s="839"/>
      <c r="R22" s="488"/>
      <c r="S22" s="839"/>
      <c r="T22" s="839">
        <f t="shared" si="4"/>
        <v>0</v>
      </c>
      <c r="U22" s="839"/>
      <c r="V22" s="839"/>
      <c r="W22" s="579">
        <v>128</v>
      </c>
      <c r="X22" s="839">
        <v>3</v>
      </c>
      <c r="Y22" s="579"/>
      <c r="Z22" s="579"/>
      <c r="AA22" s="579"/>
      <c r="AB22" s="579"/>
      <c r="AC22" s="579">
        <v>9.4077</v>
      </c>
      <c r="AD22" s="840">
        <v>2.6</v>
      </c>
    </row>
    <row r="23" spans="1:30" ht="27.75" customHeight="1">
      <c r="A23" s="579">
        <v>17</v>
      </c>
      <c r="B23" s="579" t="s">
        <v>227</v>
      </c>
      <c r="C23" s="579"/>
      <c r="D23" s="829" t="s">
        <v>150</v>
      </c>
      <c r="E23" s="579"/>
      <c r="F23" s="830">
        <v>95.388</v>
      </c>
      <c r="G23" s="830">
        <v>0.612</v>
      </c>
      <c r="H23" s="830">
        <f t="shared" si="1"/>
        <v>96</v>
      </c>
      <c r="I23" s="838">
        <v>1166.3</v>
      </c>
      <c r="J23" s="839">
        <v>40</v>
      </c>
      <c r="K23" s="579">
        <v>802.9</v>
      </c>
      <c r="L23" s="579">
        <v>8</v>
      </c>
      <c r="M23" s="840">
        <f t="shared" si="5"/>
        <v>1969.1999999999998</v>
      </c>
      <c r="N23" s="839">
        <f t="shared" si="5"/>
        <v>48</v>
      </c>
      <c r="O23" s="579">
        <f t="shared" si="2"/>
        <v>144</v>
      </c>
      <c r="P23" s="579">
        <f t="shared" si="3"/>
        <v>144</v>
      </c>
      <c r="Q23" s="839"/>
      <c r="R23" s="488">
        <v>4</v>
      </c>
      <c r="S23" s="839"/>
      <c r="T23" s="839">
        <f t="shared" si="4"/>
        <v>4</v>
      </c>
      <c r="U23" s="839"/>
      <c r="V23" s="839"/>
      <c r="W23" s="579">
        <v>1336</v>
      </c>
      <c r="X23" s="839">
        <v>40</v>
      </c>
      <c r="Y23" s="579">
        <v>1</v>
      </c>
      <c r="Z23" s="579"/>
      <c r="AA23" s="579">
        <v>3</v>
      </c>
      <c r="AB23" s="579"/>
      <c r="AC23" s="579">
        <v>131.1849</v>
      </c>
      <c r="AD23" s="840">
        <v>6.67</v>
      </c>
    </row>
    <row r="24" spans="1:30" ht="27.75" customHeight="1">
      <c r="A24" s="579">
        <v>18</v>
      </c>
      <c r="B24" s="579" t="s">
        <v>228</v>
      </c>
      <c r="C24" s="579"/>
      <c r="D24" s="829" t="s">
        <v>150</v>
      </c>
      <c r="E24" s="579"/>
      <c r="F24" s="830">
        <v>57.753</v>
      </c>
      <c r="G24" s="830">
        <f>0.247+0.8+1.6</f>
        <v>2.6470000000000002</v>
      </c>
      <c r="H24" s="830">
        <f t="shared" si="1"/>
        <v>60.4</v>
      </c>
      <c r="I24" s="838">
        <v>746.3</v>
      </c>
      <c r="J24" s="839">
        <v>25</v>
      </c>
      <c r="K24" s="579">
        <f>52.6+400+630</f>
        <v>1082.6</v>
      </c>
      <c r="L24" s="579">
        <f>5+2</f>
        <v>7</v>
      </c>
      <c r="M24" s="840">
        <f t="shared" si="5"/>
        <v>1828.8999999999999</v>
      </c>
      <c r="N24" s="839">
        <f t="shared" si="5"/>
        <v>32</v>
      </c>
      <c r="O24" s="579">
        <f t="shared" si="2"/>
        <v>96</v>
      </c>
      <c r="P24" s="579">
        <f t="shared" si="3"/>
        <v>96</v>
      </c>
      <c r="Q24" s="839"/>
      <c r="R24" s="488">
        <v>2</v>
      </c>
      <c r="S24" s="839"/>
      <c r="T24" s="839">
        <f t="shared" si="4"/>
        <v>2</v>
      </c>
      <c r="U24" s="839"/>
      <c r="V24" s="839"/>
      <c r="W24" s="579">
        <v>657</v>
      </c>
      <c r="X24" s="839">
        <v>25</v>
      </c>
      <c r="Y24" s="579"/>
      <c r="Z24" s="579"/>
      <c r="AA24" s="579"/>
      <c r="AB24" s="579"/>
      <c r="AC24" s="579">
        <v>115.3125</v>
      </c>
      <c r="AD24" s="840">
        <v>5.82</v>
      </c>
    </row>
    <row r="25" spans="1:30" ht="27.75" customHeight="1">
      <c r="A25" s="579">
        <v>19</v>
      </c>
      <c r="B25" s="579" t="s">
        <v>229</v>
      </c>
      <c r="C25" s="579"/>
      <c r="D25" s="829" t="s">
        <v>150</v>
      </c>
      <c r="E25" s="579"/>
      <c r="F25" s="830">
        <v>104.25</v>
      </c>
      <c r="G25" s="830">
        <v>0.75</v>
      </c>
      <c r="H25" s="830">
        <f t="shared" si="1"/>
        <v>105</v>
      </c>
      <c r="I25" s="838">
        <v>1126.3</v>
      </c>
      <c r="J25" s="839">
        <v>44</v>
      </c>
      <c r="K25" s="579">
        <v>396.3</v>
      </c>
      <c r="L25" s="579">
        <v>2</v>
      </c>
      <c r="M25" s="840">
        <f t="shared" si="5"/>
        <v>1522.6</v>
      </c>
      <c r="N25" s="839">
        <f t="shared" si="5"/>
        <v>46</v>
      </c>
      <c r="O25" s="579">
        <f t="shared" si="2"/>
        <v>138</v>
      </c>
      <c r="P25" s="579">
        <f t="shared" si="3"/>
        <v>138</v>
      </c>
      <c r="Q25" s="839"/>
      <c r="R25" s="488"/>
      <c r="S25" s="839"/>
      <c r="T25" s="839">
        <f t="shared" si="4"/>
        <v>0</v>
      </c>
      <c r="U25" s="839"/>
      <c r="V25" s="839"/>
      <c r="W25" s="579">
        <v>1004</v>
      </c>
      <c r="X25" s="839">
        <v>44</v>
      </c>
      <c r="Y25" s="579"/>
      <c r="Z25" s="579"/>
      <c r="AA25" s="579"/>
      <c r="AB25" s="579"/>
      <c r="AC25" s="579">
        <v>70.3983</v>
      </c>
      <c r="AD25" s="840">
        <v>5.9</v>
      </c>
    </row>
    <row r="26" spans="1:30" ht="27.75" customHeight="1">
      <c r="A26" s="579">
        <v>20</v>
      </c>
      <c r="B26" s="579" t="s">
        <v>230</v>
      </c>
      <c r="C26" s="579"/>
      <c r="D26" s="829" t="s">
        <v>150</v>
      </c>
      <c r="E26" s="579"/>
      <c r="F26" s="830">
        <v>126.77</v>
      </c>
      <c r="G26" s="830">
        <v>1.23</v>
      </c>
      <c r="H26" s="830">
        <f t="shared" si="1"/>
        <v>128</v>
      </c>
      <c r="I26" s="838">
        <v>1400</v>
      </c>
      <c r="J26" s="839">
        <v>59</v>
      </c>
      <c r="K26" s="579">
        <v>588.9</v>
      </c>
      <c r="L26" s="579">
        <v>10</v>
      </c>
      <c r="M26" s="840">
        <f t="shared" si="5"/>
        <v>1988.9</v>
      </c>
      <c r="N26" s="839">
        <f t="shared" si="5"/>
        <v>69</v>
      </c>
      <c r="O26" s="579">
        <f t="shared" si="2"/>
        <v>207</v>
      </c>
      <c r="P26" s="579">
        <f t="shared" si="3"/>
        <v>207</v>
      </c>
      <c r="Q26" s="839"/>
      <c r="R26" s="488">
        <v>1</v>
      </c>
      <c r="S26" s="839"/>
      <c r="T26" s="839">
        <f t="shared" si="4"/>
        <v>1</v>
      </c>
      <c r="U26" s="839"/>
      <c r="V26" s="839"/>
      <c r="W26" s="579">
        <v>1199</v>
      </c>
      <c r="X26" s="839">
        <v>59</v>
      </c>
      <c r="Y26" s="579"/>
      <c r="Z26" s="579"/>
      <c r="AA26" s="579"/>
      <c r="AB26" s="579"/>
      <c r="AC26" s="579">
        <v>81.4977</v>
      </c>
      <c r="AD26" s="840">
        <v>3.98</v>
      </c>
    </row>
    <row r="27" spans="1:30" ht="27.75" customHeight="1">
      <c r="A27" s="579">
        <v>21</v>
      </c>
      <c r="B27" s="579" t="s">
        <v>231</v>
      </c>
      <c r="C27" s="579"/>
      <c r="D27" s="829" t="s">
        <v>150</v>
      </c>
      <c r="E27" s="579"/>
      <c r="F27" s="830">
        <v>43.69</v>
      </c>
      <c r="G27" s="830">
        <v>1.31</v>
      </c>
      <c r="H27" s="830">
        <f t="shared" si="1"/>
        <v>45</v>
      </c>
      <c r="I27" s="838">
        <v>440</v>
      </c>
      <c r="J27" s="839">
        <v>19</v>
      </c>
      <c r="K27" s="579">
        <v>40</v>
      </c>
      <c r="L27" s="579">
        <v>2</v>
      </c>
      <c r="M27" s="840">
        <f t="shared" si="5"/>
        <v>480</v>
      </c>
      <c r="N27" s="839">
        <f t="shared" si="5"/>
        <v>21</v>
      </c>
      <c r="O27" s="579">
        <f t="shared" si="2"/>
        <v>63</v>
      </c>
      <c r="P27" s="579">
        <f t="shared" si="3"/>
        <v>63</v>
      </c>
      <c r="Q27" s="839"/>
      <c r="R27" s="488"/>
      <c r="S27" s="839"/>
      <c r="T27" s="839">
        <f t="shared" si="4"/>
        <v>0</v>
      </c>
      <c r="U27" s="839"/>
      <c r="V27" s="839"/>
      <c r="W27" s="579">
        <v>535</v>
      </c>
      <c r="X27" s="839">
        <v>19</v>
      </c>
      <c r="Y27" s="579"/>
      <c r="Z27" s="579"/>
      <c r="AA27" s="579"/>
      <c r="AB27" s="579"/>
      <c r="AC27" s="579">
        <v>14.6892</v>
      </c>
      <c r="AD27" s="840">
        <v>8.83</v>
      </c>
    </row>
    <row r="28" spans="1:30" ht="27.75" customHeight="1">
      <c r="A28" s="579">
        <v>22</v>
      </c>
      <c r="B28" s="579" t="s">
        <v>232</v>
      </c>
      <c r="C28" s="579"/>
      <c r="D28" s="829" t="s">
        <v>150</v>
      </c>
      <c r="E28" s="579"/>
      <c r="F28" s="830">
        <v>71.929</v>
      </c>
      <c r="G28" s="830">
        <v>0.78</v>
      </c>
      <c r="H28" s="830">
        <f t="shared" si="1"/>
        <v>72.709</v>
      </c>
      <c r="I28" s="838">
        <v>1276.3</v>
      </c>
      <c r="J28" s="839">
        <v>54</v>
      </c>
      <c r="K28" s="579">
        <f>1866.6+400+500+400</f>
        <v>3166.6</v>
      </c>
      <c r="L28" s="579">
        <f>12+3</f>
        <v>15</v>
      </c>
      <c r="M28" s="840">
        <f t="shared" si="5"/>
        <v>4442.9</v>
      </c>
      <c r="N28" s="839">
        <f t="shared" si="5"/>
        <v>69</v>
      </c>
      <c r="O28" s="579">
        <f t="shared" si="2"/>
        <v>207</v>
      </c>
      <c r="P28" s="579">
        <f t="shared" si="3"/>
        <v>207</v>
      </c>
      <c r="Q28" s="839"/>
      <c r="R28" s="488">
        <v>2</v>
      </c>
      <c r="S28" s="839"/>
      <c r="T28" s="839">
        <f t="shared" si="4"/>
        <v>2</v>
      </c>
      <c r="U28" s="839">
        <v>600</v>
      </c>
      <c r="V28" s="839">
        <v>2</v>
      </c>
      <c r="W28" s="579">
        <v>1837</v>
      </c>
      <c r="X28" s="839">
        <v>54</v>
      </c>
      <c r="Y28" s="579"/>
      <c r="Z28" s="579"/>
      <c r="AA28" s="579"/>
      <c r="AB28" s="579"/>
      <c r="AC28" s="579">
        <v>240.1253</v>
      </c>
      <c r="AD28" s="840">
        <v>7.06</v>
      </c>
    </row>
    <row r="29" spans="1:30" ht="27.75" customHeight="1">
      <c r="A29" s="579">
        <v>23</v>
      </c>
      <c r="B29" s="579" t="s">
        <v>233</v>
      </c>
      <c r="C29" s="579"/>
      <c r="D29" s="829" t="s">
        <v>150</v>
      </c>
      <c r="E29" s="579"/>
      <c r="F29" s="830">
        <v>28.299</v>
      </c>
      <c r="G29" s="830">
        <v>0.365</v>
      </c>
      <c r="H29" s="830">
        <f t="shared" si="1"/>
        <v>28.663999999999998</v>
      </c>
      <c r="I29" s="838">
        <v>440</v>
      </c>
      <c r="J29" s="839">
        <v>22</v>
      </c>
      <c r="K29" s="579">
        <v>250</v>
      </c>
      <c r="L29" s="579">
        <v>1</v>
      </c>
      <c r="M29" s="840">
        <f t="shared" si="5"/>
        <v>690</v>
      </c>
      <c r="N29" s="839">
        <f t="shared" si="5"/>
        <v>23</v>
      </c>
      <c r="O29" s="579">
        <f t="shared" si="2"/>
        <v>69</v>
      </c>
      <c r="P29" s="579">
        <f t="shared" si="3"/>
        <v>69</v>
      </c>
      <c r="Q29" s="839"/>
      <c r="R29" s="488"/>
      <c r="S29" s="839"/>
      <c r="T29" s="839">
        <f t="shared" si="4"/>
        <v>0</v>
      </c>
      <c r="U29" s="839"/>
      <c r="V29" s="839"/>
      <c r="W29" s="579">
        <v>819</v>
      </c>
      <c r="X29" s="839">
        <v>22</v>
      </c>
      <c r="Y29" s="579"/>
      <c r="Z29" s="579"/>
      <c r="AA29" s="579"/>
      <c r="AB29" s="579"/>
      <c r="AC29" s="579">
        <v>26.4583</v>
      </c>
      <c r="AD29" s="840">
        <v>12.54</v>
      </c>
    </row>
    <row r="30" spans="1:30" ht="27.75" customHeight="1">
      <c r="A30" s="579">
        <v>24</v>
      </c>
      <c r="B30" s="579" t="s">
        <v>234</v>
      </c>
      <c r="C30" s="579"/>
      <c r="D30" s="829" t="s">
        <v>150</v>
      </c>
      <c r="E30" s="579"/>
      <c r="F30" s="830">
        <v>46.265</v>
      </c>
      <c r="G30" s="830">
        <v>0.7</v>
      </c>
      <c r="H30" s="830">
        <f t="shared" si="1"/>
        <v>46.965</v>
      </c>
      <c r="I30" s="838">
        <v>1046.3</v>
      </c>
      <c r="J30" s="839">
        <v>51</v>
      </c>
      <c r="K30" s="579">
        <v>212.6</v>
      </c>
      <c r="L30" s="579">
        <v>6</v>
      </c>
      <c r="M30" s="840">
        <f t="shared" si="5"/>
        <v>1258.8999999999999</v>
      </c>
      <c r="N30" s="839">
        <f t="shared" si="5"/>
        <v>57</v>
      </c>
      <c r="O30" s="579">
        <f t="shared" si="2"/>
        <v>171</v>
      </c>
      <c r="P30" s="579">
        <f t="shared" si="3"/>
        <v>171</v>
      </c>
      <c r="Q30" s="839"/>
      <c r="R30" s="488">
        <v>1</v>
      </c>
      <c r="S30" s="839"/>
      <c r="T30" s="839">
        <f t="shared" si="4"/>
        <v>1</v>
      </c>
      <c r="U30" s="839"/>
      <c r="V30" s="839"/>
      <c r="W30" s="579">
        <v>1897</v>
      </c>
      <c r="X30" s="839">
        <v>51</v>
      </c>
      <c r="Y30" s="579"/>
      <c r="Z30" s="579"/>
      <c r="AA30" s="579"/>
      <c r="AB30" s="579"/>
      <c r="AC30" s="579">
        <v>79.7395</v>
      </c>
      <c r="AD30" s="840">
        <v>7.06</v>
      </c>
    </row>
    <row r="31" spans="1:30" ht="27.75" customHeight="1">
      <c r="A31" s="579">
        <v>25</v>
      </c>
      <c r="B31" s="579" t="s">
        <v>235</v>
      </c>
      <c r="C31" s="579"/>
      <c r="D31" s="829" t="s">
        <v>150</v>
      </c>
      <c r="E31" s="579"/>
      <c r="F31" s="830">
        <v>97.905</v>
      </c>
      <c r="G31" s="830">
        <v>0.845</v>
      </c>
      <c r="H31" s="830">
        <f t="shared" si="1"/>
        <v>98.75</v>
      </c>
      <c r="I31" s="838">
        <v>1630</v>
      </c>
      <c r="J31" s="839">
        <v>46</v>
      </c>
      <c r="K31" s="579">
        <v>11052.6</v>
      </c>
      <c r="L31" s="579">
        <v>11</v>
      </c>
      <c r="M31" s="840">
        <f t="shared" si="5"/>
        <v>12682.6</v>
      </c>
      <c r="N31" s="839">
        <f t="shared" si="5"/>
        <v>57</v>
      </c>
      <c r="O31" s="579">
        <f t="shared" si="2"/>
        <v>171</v>
      </c>
      <c r="P31" s="579">
        <f t="shared" si="3"/>
        <v>171</v>
      </c>
      <c r="Q31" s="839"/>
      <c r="R31" s="488"/>
      <c r="S31" s="839"/>
      <c r="T31" s="839">
        <f t="shared" si="4"/>
        <v>0</v>
      </c>
      <c r="U31" s="839"/>
      <c r="V31" s="839"/>
      <c r="W31" s="579">
        <v>2686</v>
      </c>
      <c r="X31" s="839">
        <v>46</v>
      </c>
      <c r="Y31" s="579">
        <v>4</v>
      </c>
      <c r="Z31" s="579">
        <v>58</v>
      </c>
      <c r="AA31" s="579">
        <v>21</v>
      </c>
      <c r="AB31" s="579"/>
      <c r="AC31" s="579">
        <v>200.6255</v>
      </c>
      <c r="AD31" s="840">
        <v>15.7</v>
      </c>
    </row>
    <row r="32" spans="1:30" ht="27.75" customHeight="1">
      <c r="A32" s="579">
        <v>26</v>
      </c>
      <c r="B32" s="579" t="s">
        <v>236</v>
      </c>
      <c r="C32" s="579"/>
      <c r="D32" s="829" t="s">
        <v>150</v>
      </c>
      <c r="E32" s="579"/>
      <c r="F32" s="830">
        <v>90.275</v>
      </c>
      <c r="G32" s="830">
        <v>1.3</v>
      </c>
      <c r="H32" s="830">
        <f t="shared" si="1"/>
        <v>91.575</v>
      </c>
      <c r="I32" s="838">
        <v>1110</v>
      </c>
      <c r="J32" s="839">
        <v>21</v>
      </c>
      <c r="K32" s="579">
        <v>1611.3</v>
      </c>
      <c r="L32" s="579">
        <v>13</v>
      </c>
      <c r="M32" s="840">
        <f>I32+K32</f>
        <v>2721.3</v>
      </c>
      <c r="N32" s="839">
        <f>J32+L32</f>
        <v>34</v>
      </c>
      <c r="O32" s="579">
        <f t="shared" si="2"/>
        <v>102</v>
      </c>
      <c r="P32" s="579">
        <f t="shared" si="3"/>
        <v>102</v>
      </c>
      <c r="Q32" s="839"/>
      <c r="R32" s="488">
        <v>1</v>
      </c>
      <c r="S32" s="839"/>
      <c r="T32" s="839">
        <f t="shared" si="4"/>
        <v>1</v>
      </c>
      <c r="U32" s="839"/>
      <c r="V32" s="839"/>
      <c r="W32" s="579">
        <v>1693</v>
      </c>
      <c r="X32" s="839">
        <v>21</v>
      </c>
      <c r="Y32" s="579">
        <v>4</v>
      </c>
      <c r="Z32" s="579">
        <v>44</v>
      </c>
      <c r="AA32" s="579">
        <v>36</v>
      </c>
      <c r="AB32" s="579"/>
      <c r="AC32" s="579">
        <v>193.4469</v>
      </c>
      <c r="AD32" s="840">
        <v>12.37</v>
      </c>
    </row>
    <row r="33" spans="1:30" ht="27.75" customHeight="1">
      <c r="A33" s="579" t="s">
        <v>209</v>
      </c>
      <c r="B33" s="579"/>
      <c r="C33" s="579">
        <v>4</v>
      </c>
      <c r="D33" s="579">
        <v>21</v>
      </c>
      <c r="E33" s="579">
        <v>1</v>
      </c>
      <c r="F33" s="830">
        <f aca="true" t="shared" si="6" ref="F33:L33">SUM(F7:F32)</f>
        <v>1134.732</v>
      </c>
      <c r="G33" s="830">
        <f t="shared" si="6"/>
        <v>104.82900000000001</v>
      </c>
      <c r="H33" s="830">
        <f t="shared" si="6"/>
        <v>1239.561</v>
      </c>
      <c r="I33" s="838">
        <f t="shared" si="6"/>
        <v>28841.499999999996</v>
      </c>
      <c r="J33" s="839">
        <f t="shared" si="6"/>
        <v>625</v>
      </c>
      <c r="K33" s="840">
        <f t="shared" si="6"/>
        <v>57373.299999999996</v>
      </c>
      <c r="L33" s="837">
        <f t="shared" si="6"/>
        <v>351</v>
      </c>
      <c r="M33" s="841">
        <f>I33+K33</f>
        <v>86214.79999999999</v>
      </c>
      <c r="N33" s="837">
        <f>J33+L33</f>
        <v>976</v>
      </c>
      <c r="O33" s="837">
        <f aca="true" t="shared" si="7" ref="O33:X33">SUM(O7:O32)</f>
        <v>2946</v>
      </c>
      <c r="P33" s="837">
        <f t="shared" si="7"/>
        <v>2946</v>
      </c>
      <c r="Q33" s="837"/>
      <c r="R33" s="839">
        <f aca="true" t="shared" si="8" ref="R33:T33">SUM(R7:R32)</f>
        <v>32</v>
      </c>
      <c r="S33" s="839">
        <f t="shared" si="8"/>
        <v>0</v>
      </c>
      <c r="T33" s="839">
        <f t="shared" si="8"/>
        <v>32</v>
      </c>
      <c r="U33" s="839">
        <f t="shared" si="7"/>
        <v>5150</v>
      </c>
      <c r="V33" s="839">
        <f t="shared" si="7"/>
        <v>46</v>
      </c>
      <c r="W33" s="839">
        <f t="shared" si="7"/>
        <v>35201</v>
      </c>
      <c r="X33" s="839">
        <f t="shared" si="7"/>
        <v>625</v>
      </c>
      <c r="Y33" s="579">
        <v>85</v>
      </c>
      <c r="Z33" s="825">
        <v>19</v>
      </c>
      <c r="AA33" s="825">
        <v>432</v>
      </c>
      <c r="AB33" s="841"/>
      <c r="AC33" s="848">
        <f>SUM(AC7:AC32)</f>
        <v>10532.9865</v>
      </c>
      <c r="AD33" s="841">
        <v>4.39</v>
      </c>
    </row>
    <row r="34" spans="1:30" ht="27.75" customHeight="1">
      <c r="A34" s="831" t="s">
        <v>210</v>
      </c>
      <c r="B34" s="832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49"/>
    </row>
    <row r="35" spans="1:30" ht="27.75" customHeight="1">
      <c r="A35" s="833"/>
      <c r="B35" s="824"/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50"/>
    </row>
    <row r="36" spans="2:27" ht="27.75" customHeight="1">
      <c r="B36" s="834" t="s">
        <v>176</v>
      </c>
      <c r="C36" s="834"/>
      <c r="D36" s="834"/>
      <c r="E36" s="834"/>
      <c r="O36" s="834" t="s">
        <v>177</v>
      </c>
      <c r="P36" s="834"/>
      <c r="Y36" s="834" t="s">
        <v>211</v>
      </c>
      <c r="Z36" s="834"/>
      <c r="AA36" s="817" t="s">
        <v>237</v>
      </c>
    </row>
    <row r="39" spans="4:5" ht="15">
      <c r="D39" s="835"/>
      <c r="E39" s="835"/>
    </row>
    <row r="40" spans="4:5" ht="15">
      <c r="D40" s="835"/>
      <c r="E40" s="835"/>
    </row>
  </sheetData>
  <sheetProtection/>
  <mergeCells count="28">
    <mergeCell ref="A1:AD1"/>
    <mergeCell ref="A2:F2"/>
    <mergeCell ref="V2:Y2"/>
    <mergeCell ref="AB2:AD2"/>
    <mergeCell ref="C3:E3"/>
    <mergeCell ref="F3:H3"/>
    <mergeCell ref="I3:N3"/>
    <mergeCell ref="Q3:T3"/>
    <mergeCell ref="U3:V3"/>
    <mergeCell ref="W3:Y3"/>
    <mergeCell ref="AA3:AB3"/>
    <mergeCell ref="A33:B33"/>
    <mergeCell ref="B36:E36"/>
    <mergeCell ref="O36:P36"/>
    <mergeCell ref="Y36:Z36"/>
    <mergeCell ref="B3:B6"/>
    <mergeCell ref="C4:C6"/>
    <mergeCell ref="D4:D6"/>
    <mergeCell ref="E4:E6"/>
    <mergeCell ref="W4:W5"/>
    <mergeCell ref="AD5:AD6"/>
    <mergeCell ref="A34:AD35"/>
    <mergeCell ref="F4:H5"/>
    <mergeCell ref="I4:J5"/>
    <mergeCell ref="K4:L5"/>
    <mergeCell ref="M4:N5"/>
    <mergeCell ref="U4:V5"/>
    <mergeCell ref="AA4:AB5"/>
  </mergeCells>
  <printOptions horizontalCentered="1" verticalCentered="1"/>
  <pageMargins left="0.5895833333333333" right="0.42986111111111114" top="0.9395833333333333" bottom="0.8694444444444445" header="0.38958333333333334" footer="0.5097222222222222"/>
  <pageSetup fitToHeight="1" fitToWidth="1" horizontalDpi="360" verticalDpi="360" orientation="landscape" paperSize="8" scale="6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F51"/>
  <sheetViews>
    <sheetView workbookViewId="0" topLeftCell="A1">
      <pane xSplit="5" ySplit="7" topLeftCell="F14" activePane="bottomRight" state="frozen"/>
      <selection pane="bottomRight" activeCell="AG6" sqref="AG6"/>
    </sheetView>
  </sheetViews>
  <sheetFormatPr defaultColWidth="9.00390625" defaultRowHeight="14.25"/>
  <cols>
    <col min="1" max="1" width="3.125" style="294" customWidth="1"/>
    <col min="2" max="2" width="10.00390625" style="294" customWidth="1"/>
    <col min="3" max="3" width="2.25390625" style="294" customWidth="1"/>
    <col min="4" max="5" width="3.25390625" style="294" customWidth="1"/>
    <col min="6" max="6" width="11.50390625" style="294" customWidth="1"/>
    <col min="7" max="7" width="10.00390625" style="294" customWidth="1"/>
    <col min="8" max="8" width="8.75390625" style="294" customWidth="1"/>
    <col min="9" max="9" width="10.75390625" style="294" customWidth="1"/>
    <col min="10" max="10" width="5.50390625" style="294" customWidth="1"/>
    <col min="11" max="11" width="9.50390625" style="294" customWidth="1"/>
    <col min="12" max="12" width="6.125" style="294" customWidth="1"/>
    <col min="13" max="13" width="9.75390625" style="294" customWidth="1"/>
    <col min="14" max="14" width="6.625" style="294" customWidth="1"/>
    <col min="15" max="15" width="6.25390625" style="294" customWidth="1"/>
    <col min="16" max="16" width="7.00390625" style="294" bestFit="1" customWidth="1"/>
    <col min="17" max="17" width="3.75390625" style="294" customWidth="1"/>
    <col min="18" max="18" width="4.00390625" style="294" customWidth="1"/>
    <col min="19" max="19" width="3.625" style="294" customWidth="1"/>
    <col min="20" max="20" width="6.00390625" style="294" customWidth="1"/>
    <col min="21" max="21" width="6.875" style="294" customWidth="1"/>
    <col min="22" max="22" width="5.375" style="294" customWidth="1"/>
    <col min="23" max="23" width="6.75390625" style="294" customWidth="1"/>
    <col min="24" max="24" width="5.75390625" style="294" customWidth="1"/>
    <col min="25" max="26" width="5.50390625" style="294" customWidth="1"/>
    <col min="27" max="27" width="6.50390625" style="294" customWidth="1"/>
    <col min="28" max="28" width="4.50390625" style="294" customWidth="1"/>
    <col min="29" max="29" width="9.875" style="332" customWidth="1"/>
    <col min="30" max="30" width="5.625" style="332" customWidth="1"/>
    <col min="31" max="31" width="9.75390625" style="294" customWidth="1"/>
    <col min="32" max="32" width="9.125" style="294" customWidth="1"/>
    <col min="33" max="35" width="4.75390625" style="294" customWidth="1"/>
    <col min="36" max="36" width="5.50390625" style="294" customWidth="1"/>
    <col min="37" max="37" width="5.25390625" style="294" customWidth="1"/>
    <col min="38" max="38" width="4.375" style="294" customWidth="1"/>
    <col min="39" max="16384" width="9.00390625" style="294" customWidth="1"/>
  </cols>
  <sheetData>
    <row r="1" spans="6:7" ht="14.25">
      <c r="F1" s="447"/>
      <c r="G1" s="447"/>
    </row>
    <row r="2" spans="1:30" ht="20.25">
      <c r="A2" s="295" t="s">
        <v>97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1:28" ht="15.75">
      <c r="A3" s="294" t="s">
        <v>98</v>
      </c>
      <c r="E3" s="715"/>
      <c r="F3" s="715"/>
      <c r="G3" s="715"/>
      <c r="H3" s="715"/>
      <c r="V3" s="294" t="s">
        <v>238</v>
      </c>
      <c r="AB3" s="294" t="s">
        <v>239</v>
      </c>
    </row>
    <row r="4" spans="1:30" s="620" customFormat="1" ht="15.75">
      <c r="A4" s="333" t="s">
        <v>102</v>
      </c>
      <c r="B4" s="334" t="s">
        <v>103</v>
      </c>
      <c r="C4" s="334" t="s">
        <v>104</v>
      </c>
      <c r="D4" s="334"/>
      <c r="E4" s="334"/>
      <c r="F4" s="335" t="s">
        <v>105</v>
      </c>
      <c r="G4" s="336"/>
      <c r="H4" s="336"/>
      <c r="I4" s="336" t="s">
        <v>106</v>
      </c>
      <c r="J4" s="336"/>
      <c r="K4" s="336"/>
      <c r="L4" s="336"/>
      <c r="M4" s="336"/>
      <c r="N4" s="336"/>
      <c r="O4" s="333" t="s">
        <v>107</v>
      </c>
      <c r="P4" s="333" t="s">
        <v>108</v>
      </c>
      <c r="Q4" s="341" t="s">
        <v>109</v>
      </c>
      <c r="R4" s="349"/>
      <c r="S4" s="349"/>
      <c r="T4" s="335"/>
      <c r="U4" s="336" t="s">
        <v>110</v>
      </c>
      <c r="V4" s="336"/>
      <c r="W4" s="341" t="s">
        <v>111</v>
      </c>
      <c r="X4" s="349"/>
      <c r="Y4" s="335"/>
      <c r="Z4" s="333" t="s">
        <v>112</v>
      </c>
      <c r="AA4" s="336" t="s">
        <v>113</v>
      </c>
      <c r="AB4" s="336"/>
      <c r="AC4" s="333" t="s">
        <v>114</v>
      </c>
      <c r="AD4" s="336" t="s">
        <v>115</v>
      </c>
    </row>
    <row r="5" spans="1:30" s="620" customFormat="1" ht="15.75" customHeight="1">
      <c r="A5" s="337"/>
      <c r="B5" s="334"/>
      <c r="C5" s="334" t="s">
        <v>116</v>
      </c>
      <c r="D5" s="334" t="s">
        <v>117</v>
      </c>
      <c r="E5" s="334" t="s">
        <v>118</v>
      </c>
      <c r="F5" s="303" t="s">
        <v>119</v>
      </c>
      <c r="G5" s="304"/>
      <c r="H5" s="304"/>
      <c r="I5" s="336" t="s">
        <v>120</v>
      </c>
      <c r="J5" s="336"/>
      <c r="K5" s="336" t="s">
        <v>121</v>
      </c>
      <c r="L5" s="336"/>
      <c r="M5" s="336" t="s">
        <v>122</v>
      </c>
      <c r="N5" s="336"/>
      <c r="O5" s="337"/>
      <c r="P5" s="347" t="s">
        <v>123</v>
      </c>
      <c r="Q5" s="333"/>
      <c r="R5" s="333"/>
      <c r="S5" s="333"/>
      <c r="T5" s="333"/>
      <c r="U5" s="336" t="s">
        <v>124</v>
      </c>
      <c r="V5" s="336"/>
      <c r="W5" s="333" t="s">
        <v>125</v>
      </c>
      <c r="X5" s="333" t="s">
        <v>126</v>
      </c>
      <c r="Y5" s="333" t="s">
        <v>126</v>
      </c>
      <c r="Z5" s="337" t="s">
        <v>127</v>
      </c>
      <c r="AA5" s="336" t="s">
        <v>128</v>
      </c>
      <c r="AB5" s="336"/>
      <c r="AC5" s="338" t="s">
        <v>129</v>
      </c>
      <c r="AD5" s="336" t="s">
        <v>130</v>
      </c>
    </row>
    <row r="6" spans="1:30" s="620" customFormat="1" ht="15.75" customHeight="1">
      <c r="A6" s="337"/>
      <c r="B6" s="334"/>
      <c r="C6" s="334"/>
      <c r="D6" s="334"/>
      <c r="E6" s="334"/>
      <c r="F6" s="303"/>
      <c r="G6" s="304"/>
      <c r="H6" s="304"/>
      <c r="I6" s="336"/>
      <c r="J6" s="336"/>
      <c r="K6" s="336"/>
      <c r="L6" s="336"/>
      <c r="M6" s="336"/>
      <c r="N6" s="336"/>
      <c r="O6" s="338" t="s">
        <v>131</v>
      </c>
      <c r="P6" s="348" t="s">
        <v>132</v>
      </c>
      <c r="Q6" s="337"/>
      <c r="R6" s="337" t="s">
        <v>133</v>
      </c>
      <c r="S6" s="337"/>
      <c r="T6" s="337"/>
      <c r="U6" s="336"/>
      <c r="V6" s="336"/>
      <c r="W6" s="337"/>
      <c r="X6" s="337"/>
      <c r="Y6" s="337"/>
      <c r="Z6" s="338" t="s">
        <v>134</v>
      </c>
      <c r="AA6" s="336"/>
      <c r="AB6" s="336"/>
      <c r="AC6" s="333" t="s">
        <v>135</v>
      </c>
      <c r="AD6" s="304" t="s">
        <v>136</v>
      </c>
    </row>
    <row r="7" spans="1:30" s="620" customFormat="1" ht="15.75">
      <c r="A7" s="338" t="s">
        <v>137</v>
      </c>
      <c r="B7" s="334"/>
      <c r="C7" s="334"/>
      <c r="D7" s="334"/>
      <c r="E7" s="334"/>
      <c r="F7" s="335" t="s">
        <v>120</v>
      </c>
      <c r="G7" s="336" t="s">
        <v>121</v>
      </c>
      <c r="H7" s="336" t="s">
        <v>122</v>
      </c>
      <c r="I7" s="336" t="s">
        <v>138</v>
      </c>
      <c r="J7" s="336" t="s">
        <v>139</v>
      </c>
      <c r="K7" s="336" t="s">
        <v>138</v>
      </c>
      <c r="L7" s="336" t="s">
        <v>139</v>
      </c>
      <c r="M7" s="336" t="s">
        <v>138</v>
      </c>
      <c r="N7" s="336" t="s">
        <v>139</v>
      </c>
      <c r="O7" s="336" t="s">
        <v>128</v>
      </c>
      <c r="P7" s="336" t="s">
        <v>128</v>
      </c>
      <c r="Q7" s="326" t="s">
        <v>140</v>
      </c>
      <c r="R7" s="338" t="s">
        <v>141</v>
      </c>
      <c r="S7" s="338" t="s">
        <v>142</v>
      </c>
      <c r="T7" s="338" t="s">
        <v>122</v>
      </c>
      <c r="U7" s="336" t="s">
        <v>138</v>
      </c>
      <c r="V7" s="336" t="s">
        <v>139</v>
      </c>
      <c r="W7" s="338"/>
      <c r="X7" s="338" t="s">
        <v>143</v>
      </c>
      <c r="Y7" s="338" t="s">
        <v>144</v>
      </c>
      <c r="Z7" s="336" t="s">
        <v>145</v>
      </c>
      <c r="AA7" s="304" t="s">
        <v>146</v>
      </c>
      <c r="AB7" s="304" t="s">
        <v>147</v>
      </c>
      <c r="AC7" s="338" t="s">
        <v>148</v>
      </c>
      <c r="AD7" s="304"/>
    </row>
    <row r="8" spans="1:30" ht="17.25" customHeight="1">
      <c r="A8" s="716">
        <v>1</v>
      </c>
      <c r="B8" s="799" t="s">
        <v>240</v>
      </c>
      <c r="C8" s="354"/>
      <c r="D8" s="800" t="s">
        <v>150</v>
      </c>
      <c r="E8" s="542"/>
      <c r="F8" s="801">
        <v>102.899</v>
      </c>
      <c r="G8" s="542"/>
      <c r="H8" s="716">
        <f aca="true" t="shared" si="0" ref="H8:H25">F8+G8</f>
        <v>102.899</v>
      </c>
      <c r="I8" s="542">
        <v>1342.6</v>
      </c>
      <c r="J8" s="542">
        <v>52</v>
      </c>
      <c r="K8" s="542">
        <v>2720</v>
      </c>
      <c r="L8" s="542">
        <v>40</v>
      </c>
      <c r="M8" s="725">
        <f aca="true" t="shared" si="1" ref="M8:M25">I8+K8</f>
        <v>4062.6</v>
      </c>
      <c r="N8" s="725">
        <f aca="true" t="shared" si="2" ref="N8:N25">L8+J8</f>
        <v>92</v>
      </c>
      <c r="O8" s="542">
        <v>276</v>
      </c>
      <c r="P8" s="542">
        <v>276</v>
      </c>
      <c r="Q8" s="542"/>
      <c r="R8" s="542">
        <v>2</v>
      </c>
      <c r="S8" s="542"/>
      <c r="T8" s="716">
        <f aca="true" t="shared" si="3" ref="T8:T25">Q8+R8+S8</f>
        <v>2</v>
      </c>
      <c r="U8" s="542">
        <v>1400</v>
      </c>
      <c r="V8" s="542">
        <v>2</v>
      </c>
      <c r="W8" s="760">
        <v>12</v>
      </c>
      <c r="X8" s="760">
        <v>36</v>
      </c>
      <c r="Y8" s="760"/>
      <c r="Z8" s="760"/>
      <c r="AA8" s="760"/>
      <c r="AB8" s="760"/>
      <c r="AC8" s="760">
        <v>941.4194</v>
      </c>
      <c r="AD8" s="763">
        <v>7.04</v>
      </c>
    </row>
    <row r="9" spans="1:30" ht="17.25" customHeight="1">
      <c r="A9" s="718">
        <v>2</v>
      </c>
      <c r="B9" s="799" t="s">
        <v>241</v>
      </c>
      <c r="C9" s="354"/>
      <c r="D9" s="800" t="s">
        <v>150</v>
      </c>
      <c r="E9" s="354"/>
      <c r="F9" s="802">
        <v>101.316</v>
      </c>
      <c r="G9" s="803">
        <v>0.07</v>
      </c>
      <c r="H9" s="716">
        <f t="shared" si="0"/>
        <v>101.386</v>
      </c>
      <c r="I9" s="803">
        <v>2020</v>
      </c>
      <c r="J9" s="803">
        <v>82</v>
      </c>
      <c r="K9" s="803">
        <v>2920</v>
      </c>
      <c r="L9" s="803">
        <v>41</v>
      </c>
      <c r="M9" s="725">
        <f t="shared" si="1"/>
        <v>4940</v>
      </c>
      <c r="N9" s="725">
        <f t="shared" si="2"/>
        <v>123</v>
      </c>
      <c r="O9" s="803">
        <v>369</v>
      </c>
      <c r="P9" s="803">
        <v>369</v>
      </c>
      <c r="Q9" s="803"/>
      <c r="R9" s="803">
        <v>3</v>
      </c>
      <c r="S9" s="803"/>
      <c r="T9" s="716">
        <f t="shared" si="3"/>
        <v>3</v>
      </c>
      <c r="U9" s="803"/>
      <c r="V9" s="803"/>
      <c r="W9" s="763">
        <v>24</v>
      </c>
      <c r="X9" s="763">
        <v>60</v>
      </c>
      <c r="Y9" s="763"/>
      <c r="Z9" s="763"/>
      <c r="AA9" s="763">
        <v>12</v>
      </c>
      <c r="AB9" s="763"/>
      <c r="AC9" s="763">
        <v>406.0731</v>
      </c>
      <c r="AD9" s="763">
        <v>10.91</v>
      </c>
    </row>
    <row r="10" spans="1:30" ht="17.25" customHeight="1">
      <c r="A10" s="716">
        <v>3</v>
      </c>
      <c r="B10" s="799" t="s">
        <v>242</v>
      </c>
      <c r="C10" s="800" t="s">
        <v>150</v>
      </c>
      <c r="D10" s="354"/>
      <c r="E10" s="354"/>
      <c r="F10" s="804">
        <v>10</v>
      </c>
      <c r="G10" s="354"/>
      <c r="H10" s="716">
        <f t="shared" si="0"/>
        <v>10</v>
      </c>
      <c r="I10" s="354">
        <v>2090</v>
      </c>
      <c r="J10" s="354">
        <v>16</v>
      </c>
      <c r="K10" s="354">
        <v>1450</v>
      </c>
      <c r="L10" s="354">
        <v>12</v>
      </c>
      <c r="M10" s="725">
        <f t="shared" si="1"/>
        <v>3540</v>
      </c>
      <c r="N10" s="725">
        <f t="shared" si="2"/>
        <v>28</v>
      </c>
      <c r="O10" s="354">
        <v>84</v>
      </c>
      <c r="P10" s="354">
        <v>84</v>
      </c>
      <c r="Q10" s="354"/>
      <c r="R10" s="354">
        <v>4</v>
      </c>
      <c r="S10" s="354"/>
      <c r="T10" s="716">
        <f t="shared" si="3"/>
        <v>4</v>
      </c>
      <c r="U10" s="354"/>
      <c r="V10" s="354"/>
      <c r="W10" s="763"/>
      <c r="X10" s="763">
        <v>16</v>
      </c>
      <c r="Y10" s="763"/>
      <c r="Z10" s="763"/>
      <c r="AA10" s="763">
        <v>48</v>
      </c>
      <c r="AB10" s="763"/>
      <c r="AC10" s="763">
        <v>820.0499</v>
      </c>
      <c r="AD10" s="763">
        <v>3.81</v>
      </c>
    </row>
    <row r="11" spans="1:30" ht="17.25" customHeight="1">
      <c r="A11" s="718">
        <v>4</v>
      </c>
      <c r="B11" s="799" t="s">
        <v>243</v>
      </c>
      <c r="C11" s="800" t="s">
        <v>150</v>
      </c>
      <c r="D11" s="354"/>
      <c r="E11" s="354"/>
      <c r="F11" s="805">
        <v>11.175</v>
      </c>
      <c r="G11" s="354"/>
      <c r="H11" s="716">
        <f t="shared" si="0"/>
        <v>11.175</v>
      </c>
      <c r="I11" s="354">
        <v>3535</v>
      </c>
      <c r="J11" s="354">
        <v>25</v>
      </c>
      <c r="K11" s="354">
        <v>3665</v>
      </c>
      <c r="L11" s="354">
        <v>23</v>
      </c>
      <c r="M11" s="725">
        <f t="shared" si="1"/>
        <v>7200</v>
      </c>
      <c r="N11" s="725">
        <f t="shared" si="2"/>
        <v>48</v>
      </c>
      <c r="O11" s="354">
        <v>144</v>
      </c>
      <c r="P11" s="354">
        <v>144</v>
      </c>
      <c r="Q11" s="354"/>
      <c r="R11" s="354">
        <v>10</v>
      </c>
      <c r="S11" s="354"/>
      <c r="T11" s="716">
        <f t="shared" si="3"/>
        <v>10</v>
      </c>
      <c r="U11" s="354"/>
      <c r="V11" s="354"/>
      <c r="W11" s="763"/>
      <c r="X11" s="763">
        <v>23</v>
      </c>
      <c r="Y11" s="763"/>
      <c r="Z11" s="763"/>
      <c r="AA11" s="763">
        <v>69</v>
      </c>
      <c r="AB11" s="763"/>
      <c r="AC11" s="763">
        <v>1887.1067</v>
      </c>
      <c r="AD11" s="763">
        <v>3.62</v>
      </c>
    </row>
    <row r="12" spans="1:30" ht="17.25" customHeight="1">
      <c r="A12" s="716">
        <v>5</v>
      </c>
      <c r="B12" s="799" t="s">
        <v>244</v>
      </c>
      <c r="C12" s="354"/>
      <c r="D12" s="800" t="s">
        <v>150</v>
      </c>
      <c r="E12" s="354"/>
      <c r="F12" s="805">
        <v>109.696</v>
      </c>
      <c r="G12" s="354"/>
      <c r="H12" s="716">
        <f t="shared" si="0"/>
        <v>109.696</v>
      </c>
      <c r="I12" s="354">
        <v>1375</v>
      </c>
      <c r="J12" s="354">
        <v>60</v>
      </c>
      <c r="K12" s="354">
        <v>1520</v>
      </c>
      <c r="L12" s="354">
        <v>27</v>
      </c>
      <c r="M12" s="725">
        <f t="shared" si="1"/>
        <v>2895</v>
      </c>
      <c r="N12" s="725">
        <f t="shared" si="2"/>
        <v>87</v>
      </c>
      <c r="O12" s="354">
        <v>261</v>
      </c>
      <c r="P12" s="354">
        <v>261</v>
      </c>
      <c r="Q12" s="354"/>
      <c r="R12" s="354">
        <v>3</v>
      </c>
      <c r="S12" s="354"/>
      <c r="T12" s="716">
        <f t="shared" si="3"/>
        <v>3</v>
      </c>
      <c r="U12" s="354">
        <v>50</v>
      </c>
      <c r="V12" s="354">
        <v>1</v>
      </c>
      <c r="W12" s="763">
        <v>21</v>
      </c>
      <c r="X12" s="763">
        <v>33</v>
      </c>
      <c r="Y12" s="763"/>
      <c r="Z12" s="763"/>
      <c r="AA12" s="763"/>
      <c r="AB12" s="763"/>
      <c r="AC12" s="763">
        <v>539.2328</v>
      </c>
      <c r="AD12" s="763">
        <v>7.17</v>
      </c>
    </row>
    <row r="13" spans="1:30" ht="17.25" customHeight="1">
      <c r="A13" s="718">
        <v>6</v>
      </c>
      <c r="B13" s="799" t="s">
        <v>245</v>
      </c>
      <c r="C13" s="354"/>
      <c r="D13" s="806" t="s">
        <v>150</v>
      </c>
      <c r="E13" s="354"/>
      <c r="F13" s="804">
        <v>191.38</v>
      </c>
      <c r="G13" s="354">
        <v>1.056</v>
      </c>
      <c r="H13" s="716">
        <f t="shared" si="0"/>
        <v>192.436</v>
      </c>
      <c r="I13" s="354">
        <v>1420</v>
      </c>
      <c r="J13" s="354">
        <v>48</v>
      </c>
      <c r="K13" s="354">
        <v>9025</v>
      </c>
      <c r="L13" s="354">
        <v>88</v>
      </c>
      <c r="M13" s="725">
        <f t="shared" si="1"/>
        <v>10445</v>
      </c>
      <c r="N13" s="725">
        <f t="shared" si="2"/>
        <v>136</v>
      </c>
      <c r="O13" s="354">
        <v>402</v>
      </c>
      <c r="P13" s="354">
        <v>402</v>
      </c>
      <c r="Q13" s="354"/>
      <c r="R13" s="354">
        <v>2</v>
      </c>
      <c r="S13" s="354">
        <v>2</v>
      </c>
      <c r="T13" s="716">
        <f t="shared" si="3"/>
        <v>4</v>
      </c>
      <c r="U13" s="354">
        <v>2200</v>
      </c>
      <c r="V13" s="354">
        <v>5</v>
      </c>
      <c r="W13" s="763">
        <v>5</v>
      </c>
      <c r="X13" s="763">
        <v>37</v>
      </c>
      <c r="Y13" s="763"/>
      <c r="Z13" s="763"/>
      <c r="AA13" s="763"/>
      <c r="AB13" s="763"/>
      <c r="AC13" s="763">
        <v>1564.6575</v>
      </c>
      <c r="AD13" s="763">
        <v>6.69</v>
      </c>
    </row>
    <row r="14" spans="1:30" ht="16.5" customHeight="1">
      <c r="A14" s="716">
        <v>7</v>
      </c>
      <c r="B14" s="799" t="s">
        <v>246</v>
      </c>
      <c r="C14" s="354"/>
      <c r="D14" s="806"/>
      <c r="E14" s="354" t="s">
        <v>150</v>
      </c>
      <c r="F14" s="804"/>
      <c r="G14" s="354">
        <v>10.568</v>
      </c>
      <c r="H14" s="716">
        <f t="shared" si="0"/>
        <v>10.568</v>
      </c>
      <c r="I14" s="354"/>
      <c r="J14" s="354"/>
      <c r="K14" s="354"/>
      <c r="L14" s="354"/>
      <c r="M14" s="725">
        <f t="shared" si="1"/>
        <v>0</v>
      </c>
      <c r="N14" s="725">
        <f t="shared" si="2"/>
        <v>0</v>
      </c>
      <c r="O14" s="354"/>
      <c r="P14" s="354"/>
      <c r="Q14" s="354"/>
      <c r="R14" s="354">
        <v>3</v>
      </c>
      <c r="S14" s="354"/>
      <c r="T14" s="716">
        <f t="shared" si="3"/>
        <v>3</v>
      </c>
      <c r="U14" s="354"/>
      <c r="V14" s="354"/>
      <c r="W14" s="763"/>
      <c r="X14" s="763">
        <v>1</v>
      </c>
      <c r="Y14" s="763">
        <v>1</v>
      </c>
      <c r="Z14" s="763">
        <v>1</v>
      </c>
      <c r="AA14" s="763"/>
      <c r="AB14" s="763"/>
      <c r="AC14" s="763">
        <v>74.4</v>
      </c>
      <c r="AD14" s="763">
        <v>0</v>
      </c>
    </row>
    <row r="15" spans="1:30" ht="17.25" customHeight="1">
      <c r="A15" s="718">
        <v>8</v>
      </c>
      <c r="B15" s="799" t="s">
        <v>247</v>
      </c>
      <c r="C15" s="763"/>
      <c r="D15" s="807" t="s">
        <v>150</v>
      </c>
      <c r="E15" s="808"/>
      <c r="F15" s="809">
        <v>52.219</v>
      </c>
      <c r="G15" s="354"/>
      <c r="H15" s="718">
        <f t="shared" si="0"/>
        <v>52.219</v>
      </c>
      <c r="I15" s="813">
        <v>1180</v>
      </c>
      <c r="J15" s="301">
        <v>47</v>
      </c>
      <c r="K15" s="354">
        <v>220</v>
      </c>
      <c r="L15" s="301">
        <v>3</v>
      </c>
      <c r="M15" s="725">
        <f t="shared" si="1"/>
        <v>1400</v>
      </c>
      <c r="N15" s="725">
        <f t="shared" si="2"/>
        <v>50</v>
      </c>
      <c r="O15" s="763">
        <v>150</v>
      </c>
      <c r="P15" s="763">
        <v>150</v>
      </c>
      <c r="Q15" s="354"/>
      <c r="R15" s="354"/>
      <c r="S15" s="354"/>
      <c r="T15" s="716">
        <f t="shared" si="3"/>
        <v>0</v>
      </c>
      <c r="U15" s="354"/>
      <c r="V15" s="354"/>
      <c r="W15" s="763">
        <v>3</v>
      </c>
      <c r="X15" s="763">
        <v>13</v>
      </c>
      <c r="Y15" s="763">
        <v>1</v>
      </c>
      <c r="Z15" s="763"/>
      <c r="AA15" s="763">
        <v>3</v>
      </c>
      <c r="AB15" s="763"/>
      <c r="AC15" s="763">
        <v>126.6225</v>
      </c>
      <c r="AD15" s="763">
        <v>11.27</v>
      </c>
    </row>
    <row r="16" spans="1:30" ht="17.25" customHeight="1">
      <c r="A16" s="716">
        <v>9</v>
      </c>
      <c r="B16" s="799" t="s">
        <v>248</v>
      </c>
      <c r="C16" s="763"/>
      <c r="D16" s="807" t="s">
        <v>150</v>
      </c>
      <c r="E16" s="354"/>
      <c r="F16" s="804">
        <v>19.8</v>
      </c>
      <c r="G16" s="354"/>
      <c r="H16" s="716">
        <f t="shared" si="0"/>
        <v>19.8</v>
      </c>
      <c r="I16" s="354">
        <v>830</v>
      </c>
      <c r="J16" s="354">
        <v>18</v>
      </c>
      <c r="K16" s="354">
        <v>1270</v>
      </c>
      <c r="L16" s="354">
        <v>19</v>
      </c>
      <c r="M16" s="725">
        <f t="shared" si="1"/>
        <v>2100</v>
      </c>
      <c r="N16" s="725">
        <f t="shared" si="2"/>
        <v>37</v>
      </c>
      <c r="O16" s="354">
        <v>111</v>
      </c>
      <c r="P16" s="354">
        <v>111</v>
      </c>
      <c r="Q16" s="354"/>
      <c r="R16" s="354">
        <v>1</v>
      </c>
      <c r="S16" s="354"/>
      <c r="T16" s="716">
        <f t="shared" si="3"/>
        <v>1</v>
      </c>
      <c r="U16" s="354"/>
      <c r="V16" s="354"/>
      <c r="W16" s="763">
        <v>1</v>
      </c>
      <c r="X16" s="763">
        <v>14</v>
      </c>
      <c r="Y16" s="763">
        <v>1</v>
      </c>
      <c r="Z16" s="763"/>
      <c r="AA16" s="763">
        <v>24</v>
      </c>
      <c r="AB16" s="763"/>
      <c r="AC16" s="763">
        <v>213.7528</v>
      </c>
      <c r="AD16" s="763">
        <v>9.58</v>
      </c>
    </row>
    <row r="17" spans="1:30" ht="17.25" customHeight="1">
      <c r="A17" s="718">
        <v>10</v>
      </c>
      <c r="B17" s="799" t="s">
        <v>249</v>
      </c>
      <c r="C17" s="763"/>
      <c r="D17" s="807" t="s">
        <v>150</v>
      </c>
      <c r="E17" s="808"/>
      <c r="F17" s="810">
        <v>30.27</v>
      </c>
      <c r="G17" s="763"/>
      <c r="H17" s="716">
        <f t="shared" si="0"/>
        <v>30.27</v>
      </c>
      <c r="I17" s="763">
        <v>1536</v>
      </c>
      <c r="J17" s="763">
        <v>42</v>
      </c>
      <c r="K17" s="763">
        <v>1800</v>
      </c>
      <c r="L17" s="763">
        <v>24</v>
      </c>
      <c r="M17" s="725">
        <f t="shared" si="1"/>
        <v>3336</v>
      </c>
      <c r="N17" s="725">
        <f t="shared" si="2"/>
        <v>66</v>
      </c>
      <c r="O17" s="763">
        <v>198</v>
      </c>
      <c r="P17" s="763">
        <v>198</v>
      </c>
      <c r="Q17" s="354"/>
      <c r="R17" s="354"/>
      <c r="S17" s="354"/>
      <c r="T17" s="716">
        <f t="shared" si="3"/>
        <v>0</v>
      </c>
      <c r="U17" s="354"/>
      <c r="V17" s="354"/>
      <c r="W17" s="763">
        <v>5</v>
      </c>
      <c r="X17" s="763">
        <v>23</v>
      </c>
      <c r="Y17" s="763">
        <v>1</v>
      </c>
      <c r="Z17" s="763"/>
      <c r="AA17" s="763">
        <v>33</v>
      </c>
      <c r="AB17" s="763"/>
      <c r="AC17" s="763">
        <v>355.931</v>
      </c>
      <c r="AD17" s="763">
        <v>10.83</v>
      </c>
    </row>
    <row r="18" spans="1:30" ht="17.25" customHeight="1">
      <c r="A18" s="716">
        <v>11</v>
      </c>
      <c r="B18" s="811" t="s">
        <v>250</v>
      </c>
      <c r="C18" s="354"/>
      <c r="D18" s="806" t="s">
        <v>150</v>
      </c>
      <c r="E18" s="354"/>
      <c r="F18" s="804">
        <v>189.546</v>
      </c>
      <c r="G18" s="354"/>
      <c r="H18" s="716">
        <f t="shared" si="0"/>
        <v>189.546</v>
      </c>
      <c r="I18" s="354">
        <v>1995.4</v>
      </c>
      <c r="J18" s="354">
        <v>111</v>
      </c>
      <c r="K18" s="354">
        <v>506.6</v>
      </c>
      <c r="L18" s="354">
        <v>14</v>
      </c>
      <c r="M18" s="725">
        <f t="shared" si="1"/>
        <v>2502</v>
      </c>
      <c r="N18" s="725">
        <f t="shared" si="2"/>
        <v>125</v>
      </c>
      <c r="O18" s="354">
        <v>375</v>
      </c>
      <c r="P18" s="354">
        <v>375</v>
      </c>
      <c r="Q18" s="354"/>
      <c r="R18" s="354">
        <v>2</v>
      </c>
      <c r="S18" s="354"/>
      <c r="T18" s="716">
        <f t="shared" si="3"/>
        <v>2</v>
      </c>
      <c r="U18" s="354"/>
      <c r="V18" s="354"/>
      <c r="W18" s="763">
        <v>27</v>
      </c>
      <c r="X18" s="763">
        <v>85</v>
      </c>
      <c r="Y18" s="763">
        <v>1</v>
      </c>
      <c r="Z18" s="763"/>
      <c r="AA18" s="763">
        <v>9</v>
      </c>
      <c r="AB18" s="763"/>
      <c r="AC18" s="763">
        <v>131.4358</v>
      </c>
      <c r="AD18" s="763">
        <v>7.83</v>
      </c>
    </row>
    <row r="19" spans="1:30" ht="17.25" customHeight="1">
      <c r="A19" s="718">
        <v>12</v>
      </c>
      <c r="B19" s="811" t="s">
        <v>251</v>
      </c>
      <c r="C19" s="354"/>
      <c r="D19" s="806" t="s">
        <v>150</v>
      </c>
      <c r="E19" s="354"/>
      <c r="F19" s="804">
        <v>189.8</v>
      </c>
      <c r="G19" s="354"/>
      <c r="H19" s="716">
        <f t="shared" si="0"/>
        <v>189.8</v>
      </c>
      <c r="I19" s="354">
        <v>1998.6</v>
      </c>
      <c r="J19" s="354">
        <v>136</v>
      </c>
      <c r="K19" s="354">
        <v>470</v>
      </c>
      <c r="L19" s="354">
        <v>15</v>
      </c>
      <c r="M19" s="725">
        <f t="shared" si="1"/>
        <v>2468.6</v>
      </c>
      <c r="N19" s="725">
        <f t="shared" si="2"/>
        <v>151</v>
      </c>
      <c r="O19" s="354">
        <v>453</v>
      </c>
      <c r="P19" s="354">
        <v>453</v>
      </c>
      <c r="Q19" s="354"/>
      <c r="R19" s="354">
        <v>2</v>
      </c>
      <c r="S19" s="354"/>
      <c r="T19" s="716">
        <f t="shared" si="3"/>
        <v>2</v>
      </c>
      <c r="U19" s="354"/>
      <c r="V19" s="354"/>
      <c r="W19" s="763">
        <v>35</v>
      </c>
      <c r="X19" s="763">
        <v>115</v>
      </c>
      <c r="Y19" s="763">
        <v>1</v>
      </c>
      <c r="Z19" s="763"/>
      <c r="AA19" s="763">
        <v>9</v>
      </c>
      <c r="AB19" s="763"/>
      <c r="AC19" s="763">
        <v>178.9243</v>
      </c>
      <c r="AD19" s="763">
        <v>9.93</v>
      </c>
    </row>
    <row r="20" spans="1:30" ht="17.25" customHeight="1">
      <c r="A20" s="716">
        <v>13</v>
      </c>
      <c r="B20" s="811" t="s">
        <v>252</v>
      </c>
      <c r="C20" s="354"/>
      <c r="D20" s="806" t="s">
        <v>150</v>
      </c>
      <c r="E20" s="354"/>
      <c r="F20" s="804">
        <v>129.467</v>
      </c>
      <c r="G20" s="354"/>
      <c r="H20" s="716">
        <f t="shared" si="0"/>
        <v>129.467</v>
      </c>
      <c r="I20" s="354">
        <v>1750</v>
      </c>
      <c r="J20" s="354">
        <v>80</v>
      </c>
      <c r="K20" s="354">
        <v>1470</v>
      </c>
      <c r="L20" s="354">
        <v>27</v>
      </c>
      <c r="M20" s="725">
        <f t="shared" si="1"/>
        <v>3220</v>
      </c>
      <c r="N20" s="725">
        <f t="shared" si="2"/>
        <v>107</v>
      </c>
      <c r="O20" s="354">
        <v>321</v>
      </c>
      <c r="P20" s="354">
        <v>321</v>
      </c>
      <c r="Q20" s="354"/>
      <c r="R20" s="354">
        <v>1</v>
      </c>
      <c r="S20" s="354"/>
      <c r="T20" s="716">
        <f t="shared" si="3"/>
        <v>1</v>
      </c>
      <c r="U20" s="354"/>
      <c r="V20" s="354"/>
      <c r="W20" s="763">
        <v>33</v>
      </c>
      <c r="X20" s="763">
        <v>58</v>
      </c>
      <c r="Y20" s="763">
        <v>1</v>
      </c>
      <c r="Z20" s="763"/>
      <c r="AA20" s="763">
        <v>6</v>
      </c>
      <c r="AB20" s="763"/>
      <c r="AC20" s="763">
        <v>277.5281</v>
      </c>
      <c r="AD20" s="763">
        <v>10.17</v>
      </c>
    </row>
    <row r="21" spans="1:30" ht="17.25" customHeight="1">
      <c r="A21" s="718">
        <v>14</v>
      </c>
      <c r="B21" s="354" t="s">
        <v>253</v>
      </c>
      <c r="C21" s="354"/>
      <c r="D21" s="354" t="s">
        <v>150</v>
      </c>
      <c r="E21" s="354"/>
      <c r="F21" s="804">
        <v>51</v>
      </c>
      <c r="G21" s="354"/>
      <c r="H21" s="716">
        <f t="shared" si="0"/>
        <v>51</v>
      </c>
      <c r="I21" s="354">
        <v>20</v>
      </c>
      <c r="J21" s="354">
        <v>2</v>
      </c>
      <c r="K21" s="354">
        <v>2370</v>
      </c>
      <c r="L21" s="354">
        <v>25</v>
      </c>
      <c r="M21" s="725">
        <f t="shared" si="1"/>
        <v>2390</v>
      </c>
      <c r="N21" s="725">
        <f t="shared" si="2"/>
        <v>27</v>
      </c>
      <c r="O21" s="354">
        <v>81</v>
      </c>
      <c r="P21" s="354">
        <v>81</v>
      </c>
      <c r="Q21" s="354"/>
      <c r="R21" s="354"/>
      <c r="S21" s="354"/>
      <c r="T21" s="716">
        <f t="shared" si="3"/>
        <v>0</v>
      </c>
      <c r="U21" s="354">
        <v>600</v>
      </c>
      <c r="V21" s="354">
        <v>2</v>
      </c>
      <c r="W21" s="763"/>
      <c r="X21" s="763">
        <v>4</v>
      </c>
      <c r="Y21" s="763">
        <v>1</v>
      </c>
      <c r="Z21" s="763"/>
      <c r="AA21" s="763">
        <v>3</v>
      </c>
      <c r="AB21" s="763"/>
      <c r="AC21" s="763">
        <v>431.5798</v>
      </c>
      <c r="AD21" s="763">
        <v>3.56</v>
      </c>
    </row>
    <row r="22" spans="1:30" ht="17.25" customHeight="1">
      <c r="A22" s="716">
        <v>15</v>
      </c>
      <c r="B22" s="354" t="s">
        <v>254</v>
      </c>
      <c r="C22" s="354"/>
      <c r="D22" s="354" t="s">
        <v>150</v>
      </c>
      <c r="E22" s="354"/>
      <c r="F22" s="804">
        <v>32</v>
      </c>
      <c r="G22" s="354"/>
      <c r="H22" s="718">
        <f t="shared" si="0"/>
        <v>32</v>
      </c>
      <c r="I22" s="354">
        <v>90</v>
      </c>
      <c r="J22" s="354">
        <v>3</v>
      </c>
      <c r="K22" s="354">
        <v>2650</v>
      </c>
      <c r="L22" s="354">
        <v>20</v>
      </c>
      <c r="M22" s="726">
        <f t="shared" si="1"/>
        <v>2740</v>
      </c>
      <c r="N22" s="726">
        <f t="shared" si="2"/>
        <v>23</v>
      </c>
      <c r="O22" s="354">
        <v>69</v>
      </c>
      <c r="P22" s="354">
        <v>69</v>
      </c>
      <c r="Q22" s="354"/>
      <c r="R22" s="354"/>
      <c r="S22" s="354"/>
      <c r="T22" s="716">
        <f t="shared" si="3"/>
        <v>0</v>
      </c>
      <c r="U22" s="354"/>
      <c r="V22" s="354"/>
      <c r="W22" s="763"/>
      <c r="X22" s="763">
        <v>5</v>
      </c>
      <c r="Y22" s="763">
        <v>1</v>
      </c>
      <c r="Z22" s="763"/>
      <c r="AA22" s="763">
        <v>3</v>
      </c>
      <c r="AB22" s="763"/>
      <c r="AC22" s="763">
        <v>366.2277</v>
      </c>
      <c r="AD22" s="763">
        <v>3.29</v>
      </c>
    </row>
    <row r="23" spans="1:30" ht="17.25" customHeight="1">
      <c r="A23" s="718">
        <v>16</v>
      </c>
      <c r="B23" s="354" t="s">
        <v>255</v>
      </c>
      <c r="C23" s="354"/>
      <c r="D23" s="354" t="s">
        <v>150</v>
      </c>
      <c r="E23" s="354"/>
      <c r="F23" s="804">
        <v>30.71</v>
      </c>
      <c r="G23" s="354"/>
      <c r="H23" s="718">
        <f t="shared" si="0"/>
        <v>30.71</v>
      </c>
      <c r="I23" s="354">
        <v>50</v>
      </c>
      <c r="J23" s="354">
        <v>3</v>
      </c>
      <c r="K23" s="354">
        <v>5375</v>
      </c>
      <c r="L23" s="354">
        <v>82</v>
      </c>
      <c r="M23" s="726">
        <f t="shared" si="1"/>
        <v>5425</v>
      </c>
      <c r="N23" s="726">
        <f t="shared" si="2"/>
        <v>85</v>
      </c>
      <c r="O23" s="354">
        <v>255</v>
      </c>
      <c r="P23" s="354">
        <v>255</v>
      </c>
      <c r="Q23" s="354"/>
      <c r="R23" s="354"/>
      <c r="S23" s="354"/>
      <c r="T23" s="718">
        <f t="shared" si="3"/>
        <v>0</v>
      </c>
      <c r="U23" s="354"/>
      <c r="V23" s="354"/>
      <c r="W23" s="763"/>
      <c r="X23" s="763">
        <v>4</v>
      </c>
      <c r="Y23" s="763">
        <v>1</v>
      </c>
      <c r="Z23" s="763"/>
      <c r="AA23" s="763">
        <v>3</v>
      </c>
      <c r="AB23" s="763"/>
      <c r="AC23" s="763">
        <v>980.7166</v>
      </c>
      <c r="AD23" s="763">
        <v>2.91</v>
      </c>
    </row>
    <row r="24" spans="1:30" ht="17.25" customHeight="1">
      <c r="A24" s="716">
        <v>17</v>
      </c>
      <c r="B24" s="354" t="s">
        <v>256</v>
      </c>
      <c r="C24" s="354"/>
      <c r="D24" s="354" t="s">
        <v>150</v>
      </c>
      <c r="E24" s="354"/>
      <c r="F24" s="804">
        <v>30.8</v>
      </c>
      <c r="G24" s="354">
        <v>0.06</v>
      </c>
      <c r="H24" s="718">
        <f t="shared" si="0"/>
        <v>30.86</v>
      </c>
      <c r="I24" s="354">
        <v>2937.6</v>
      </c>
      <c r="J24" s="354">
        <v>29</v>
      </c>
      <c r="K24" s="354">
        <v>1830</v>
      </c>
      <c r="L24" s="354">
        <v>12</v>
      </c>
      <c r="M24" s="726">
        <f t="shared" si="1"/>
        <v>4767.6</v>
      </c>
      <c r="N24" s="726">
        <f t="shared" si="2"/>
        <v>41</v>
      </c>
      <c r="O24" s="354">
        <v>123</v>
      </c>
      <c r="P24" s="354">
        <v>123</v>
      </c>
      <c r="Q24" s="354"/>
      <c r="R24" s="354">
        <v>1</v>
      </c>
      <c r="S24" s="354"/>
      <c r="T24" s="718">
        <f t="shared" si="3"/>
        <v>1</v>
      </c>
      <c r="U24" s="354"/>
      <c r="V24" s="354"/>
      <c r="W24" s="763">
        <v>7</v>
      </c>
      <c r="X24" s="763">
        <v>29</v>
      </c>
      <c r="Y24" s="763">
        <v>1</v>
      </c>
      <c r="Z24" s="763"/>
      <c r="AA24" s="763">
        <v>3</v>
      </c>
      <c r="AB24" s="763"/>
      <c r="AC24" s="763">
        <v>232.276</v>
      </c>
      <c r="AD24" s="763">
        <v>11.24</v>
      </c>
    </row>
    <row r="25" spans="1:30" ht="17.25" customHeight="1">
      <c r="A25" s="718">
        <v>18</v>
      </c>
      <c r="B25" s="354" t="s">
        <v>257</v>
      </c>
      <c r="C25" s="354"/>
      <c r="D25" s="354"/>
      <c r="E25" s="354" t="s">
        <v>150</v>
      </c>
      <c r="F25" s="354"/>
      <c r="G25" s="354">
        <v>12.516</v>
      </c>
      <c r="H25" s="718">
        <f t="shared" si="0"/>
        <v>12.516</v>
      </c>
      <c r="I25" s="354"/>
      <c r="J25" s="354"/>
      <c r="K25" s="354">
        <v>2995</v>
      </c>
      <c r="L25" s="354">
        <v>10</v>
      </c>
      <c r="M25" s="726">
        <f t="shared" si="1"/>
        <v>2995</v>
      </c>
      <c r="N25" s="726">
        <f t="shared" si="2"/>
        <v>10</v>
      </c>
      <c r="O25" s="354">
        <v>30</v>
      </c>
      <c r="P25" s="354">
        <v>30</v>
      </c>
      <c r="Q25" s="354"/>
      <c r="R25" s="354">
        <v>3</v>
      </c>
      <c r="S25" s="354"/>
      <c r="T25" s="718">
        <f t="shared" si="3"/>
        <v>3</v>
      </c>
      <c r="U25" s="354"/>
      <c r="V25" s="354"/>
      <c r="W25" s="763"/>
      <c r="X25" s="763">
        <v>1</v>
      </c>
      <c r="Y25" s="763">
        <v>1</v>
      </c>
      <c r="Z25" s="763">
        <v>1</v>
      </c>
      <c r="AA25" s="763"/>
      <c r="AB25" s="763"/>
      <c r="AC25" s="763">
        <v>176.4001</v>
      </c>
      <c r="AD25" s="763">
        <v>0</v>
      </c>
    </row>
    <row r="26" spans="1:32" ht="17.25" customHeight="1">
      <c r="A26" s="722" t="s">
        <v>122</v>
      </c>
      <c r="B26" s="723"/>
      <c r="C26" s="718">
        <v>2</v>
      </c>
      <c r="D26" s="718">
        <v>14</v>
      </c>
      <c r="E26" s="718">
        <v>2</v>
      </c>
      <c r="F26" s="812">
        <f>SUM(F8:F25)</f>
        <v>1282.078</v>
      </c>
      <c r="G26" s="718">
        <f aca="true" t="shared" si="4" ref="G26:AC26">SUM(G8:G25)</f>
        <v>24.27</v>
      </c>
      <c r="H26" s="718">
        <f t="shared" si="4"/>
        <v>1306.348</v>
      </c>
      <c r="I26" s="718">
        <f t="shared" si="4"/>
        <v>24170.199999999997</v>
      </c>
      <c r="J26" s="718">
        <f t="shared" si="4"/>
        <v>754</v>
      </c>
      <c r="K26" s="718">
        <f t="shared" si="4"/>
        <v>42256.6</v>
      </c>
      <c r="L26" s="718">
        <f t="shared" si="4"/>
        <v>482</v>
      </c>
      <c r="M26" s="718">
        <f t="shared" si="4"/>
        <v>66426.79999999999</v>
      </c>
      <c r="N26" s="718">
        <f t="shared" si="4"/>
        <v>1236</v>
      </c>
      <c r="O26" s="718">
        <f t="shared" si="4"/>
        <v>3702</v>
      </c>
      <c r="P26" s="718">
        <f t="shared" si="4"/>
        <v>3702</v>
      </c>
      <c r="Q26" s="718">
        <f t="shared" si="4"/>
        <v>0</v>
      </c>
      <c r="R26" s="718">
        <f t="shared" si="4"/>
        <v>37</v>
      </c>
      <c r="S26" s="718">
        <f t="shared" si="4"/>
        <v>2</v>
      </c>
      <c r="T26" s="718">
        <f t="shared" si="4"/>
        <v>39</v>
      </c>
      <c r="U26" s="718">
        <f t="shared" si="4"/>
        <v>4250</v>
      </c>
      <c r="V26" s="718">
        <f t="shared" si="4"/>
        <v>10</v>
      </c>
      <c r="W26" s="814">
        <f t="shared" si="4"/>
        <v>173</v>
      </c>
      <c r="X26" s="814">
        <f t="shared" si="4"/>
        <v>557</v>
      </c>
      <c r="Y26" s="814">
        <f t="shared" si="4"/>
        <v>12</v>
      </c>
      <c r="Z26" s="814">
        <f t="shared" si="4"/>
        <v>2</v>
      </c>
      <c r="AA26" s="814">
        <f t="shared" si="4"/>
        <v>225</v>
      </c>
      <c r="AB26" s="814">
        <f t="shared" si="4"/>
        <v>0</v>
      </c>
      <c r="AC26" s="815">
        <f t="shared" si="4"/>
        <v>9704.3341</v>
      </c>
      <c r="AD26" s="815">
        <v>5.91</v>
      </c>
      <c r="AE26" s="741"/>
      <c r="AF26" s="620"/>
    </row>
    <row r="27" spans="1:32" ht="17.25" customHeight="1">
      <c r="A27" s="722" t="s">
        <v>209</v>
      </c>
      <c r="B27" s="723"/>
      <c r="C27" s="724">
        <v>2</v>
      </c>
      <c r="D27" s="724">
        <v>14</v>
      </c>
      <c r="E27" s="724">
        <v>2</v>
      </c>
      <c r="F27" s="724">
        <f aca="true" t="shared" si="5" ref="F27:AD27">F26</f>
        <v>1282.078</v>
      </c>
      <c r="G27" s="724">
        <f t="shared" si="5"/>
        <v>24.27</v>
      </c>
      <c r="H27" s="724">
        <f t="shared" si="5"/>
        <v>1306.348</v>
      </c>
      <c r="I27" s="724">
        <f t="shared" si="5"/>
        <v>24170.199999999997</v>
      </c>
      <c r="J27" s="724">
        <f t="shared" si="5"/>
        <v>754</v>
      </c>
      <c r="K27" s="724">
        <f t="shared" si="5"/>
        <v>42256.6</v>
      </c>
      <c r="L27" s="724">
        <f t="shared" si="5"/>
        <v>482</v>
      </c>
      <c r="M27" s="724">
        <f t="shared" si="5"/>
        <v>66426.79999999999</v>
      </c>
      <c r="N27" s="724">
        <f t="shared" si="5"/>
        <v>1236</v>
      </c>
      <c r="O27" s="724">
        <f t="shared" si="5"/>
        <v>3702</v>
      </c>
      <c r="P27" s="724">
        <f t="shared" si="5"/>
        <v>3702</v>
      </c>
      <c r="Q27" s="724">
        <f t="shared" si="5"/>
        <v>0</v>
      </c>
      <c r="R27" s="724">
        <f t="shared" si="5"/>
        <v>37</v>
      </c>
      <c r="S27" s="724">
        <f t="shared" si="5"/>
        <v>2</v>
      </c>
      <c r="T27" s="724">
        <f t="shared" si="5"/>
        <v>39</v>
      </c>
      <c r="U27" s="724">
        <f t="shared" si="5"/>
        <v>4250</v>
      </c>
      <c r="V27" s="724">
        <f t="shared" si="5"/>
        <v>10</v>
      </c>
      <c r="W27" s="724">
        <f t="shared" si="5"/>
        <v>173</v>
      </c>
      <c r="X27" s="724">
        <f t="shared" si="5"/>
        <v>557</v>
      </c>
      <c r="Y27" s="724">
        <f t="shared" si="5"/>
        <v>12</v>
      </c>
      <c r="Z27" s="724">
        <f t="shared" si="5"/>
        <v>2</v>
      </c>
      <c r="AA27" s="724">
        <f t="shared" si="5"/>
        <v>225</v>
      </c>
      <c r="AB27" s="724">
        <f t="shared" si="5"/>
        <v>0</v>
      </c>
      <c r="AC27" s="742">
        <f t="shared" si="5"/>
        <v>9704.3341</v>
      </c>
      <c r="AD27" s="726">
        <f t="shared" si="5"/>
        <v>5.91</v>
      </c>
      <c r="AE27" s="620"/>
      <c r="AF27" s="620"/>
    </row>
    <row r="28" spans="1:32" ht="17.25" customHeight="1">
      <c r="A28" s="439"/>
      <c r="B28" s="440" t="s">
        <v>210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660"/>
      <c r="AD28" s="660"/>
      <c r="AE28" s="620"/>
      <c r="AF28" s="620"/>
    </row>
    <row r="29" spans="4:26" ht="17.25" customHeight="1">
      <c r="D29" s="294" t="s">
        <v>176</v>
      </c>
      <c r="O29" s="294" t="s">
        <v>177</v>
      </c>
      <c r="Q29" s="332"/>
      <c r="R29" s="332"/>
      <c r="Z29" s="294" t="s">
        <v>211</v>
      </c>
    </row>
    <row r="30" spans="4:5" ht="21.75" customHeight="1">
      <c r="D30" s="661"/>
      <c r="E30" s="661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50" spans="2:21" ht="15"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</row>
    <row r="51" spans="2:21" ht="15"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</row>
  </sheetData>
  <sheetProtection/>
  <mergeCells count="25">
    <mergeCell ref="A2:AD2"/>
    <mergeCell ref="E3:H3"/>
    <mergeCell ref="C4:E4"/>
    <mergeCell ref="F4:H4"/>
    <mergeCell ref="I4:N4"/>
    <mergeCell ref="Q4:T4"/>
    <mergeCell ref="U4:V4"/>
    <mergeCell ref="W4:Y4"/>
    <mergeCell ref="AA4:AB4"/>
    <mergeCell ref="A26:B26"/>
    <mergeCell ref="A27:B27"/>
    <mergeCell ref="C28:M28"/>
    <mergeCell ref="Q29:R29"/>
    <mergeCell ref="B4:B7"/>
    <mergeCell ref="C5:C7"/>
    <mergeCell ref="D5:D7"/>
    <mergeCell ref="E5:E7"/>
    <mergeCell ref="W5:W6"/>
    <mergeCell ref="AD6:AD7"/>
    <mergeCell ref="F5:H6"/>
    <mergeCell ref="I5:J6"/>
    <mergeCell ref="K5:L6"/>
    <mergeCell ref="M5:N6"/>
    <mergeCell ref="U5:V6"/>
    <mergeCell ref="AA5:AB6"/>
  </mergeCells>
  <printOptions horizontalCentered="1" verticalCentered="1"/>
  <pageMargins left="0.25972222222222224" right="0.16944444444444445" top="0.21944444444444444" bottom="0.2" header="0.2" footer="0.1798611111111111"/>
  <pageSetup horizontalDpi="360" verticalDpi="360" orientation="landscape" paperSize="8" scale="7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38"/>
  <sheetViews>
    <sheetView zoomScale="75" zoomScaleNormal="75" workbookViewId="0" topLeftCell="A1">
      <pane xSplit="5" ySplit="6" topLeftCell="F16" activePane="bottomRight" state="frozen"/>
      <selection pane="bottomRight" activeCell="AG6" sqref="AG6"/>
    </sheetView>
  </sheetViews>
  <sheetFormatPr defaultColWidth="9.00390625" defaultRowHeight="14.25"/>
  <cols>
    <col min="1" max="1" width="3.125" style="294" customWidth="1"/>
    <col min="2" max="2" width="8.00390625" style="294" customWidth="1"/>
    <col min="3" max="3" width="2.25390625" style="294" customWidth="1"/>
    <col min="4" max="4" width="2.375" style="294" customWidth="1"/>
    <col min="5" max="5" width="2.50390625" style="294" customWidth="1"/>
    <col min="6" max="6" width="7.75390625" style="294" customWidth="1"/>
    <col min="7" max="7" width="9.00390625" style="294" customWidth="1"/>
    <col min="8" max="8" width="7.00390625" style="294" customWidth="1"/>
    <col min="9" max="9" width="6.50390625" style="294" customWidth="1"/>
    <col min="10" max="10" width="4.25390625" style="294" customWidth="1"/>
    <col min="11" max="11" width="9.00390625" style="294" customWidth="1"/>
    <col min="12" max="12" width="4.50390625" style="294" customWidth="1"/>
    <col min="13" max="13" width="9.625" style="294" customWidth="1"/>
    <col min="14" max="14" width="5.50390625" style="294" bestFit="1" customWidth="1"/>
    <col min="15" max="15" width="5.625" style="294" customWidth="1"/>
    <col min="16" max="16" width="5.25390625" style="294" customWidth="1"/>
    <col min="17" max="17" width="3.75390625" style="294" customWidth="1"/>
    <col min="18" max="18" width="4.00390625" style="294" customWidth="1"/>
    <col min="19" max="19" width="3.625" style="294" customWidth="1"/>
    <col min="20" max="20" width="6.00390625" style="294" customWidth="1"/>
    <col min="21" max="21" width="6.875" style="294" customWidth="1"/>
    <col min="22" max="22" width="5.375" style="294" customWidth="1"/>
    <col min="23" max="24" width="6.75390625" style="294" customWidth="1"/>
    <col min="25" max="25" width="6.375" style="294" customWidth="1"/>
    <col min="26" max="27" width="6.50390625" style="294" customWidth="1"/>
    <col min="28" max="28" width="5.875" style="294" customWidth="1"/>
    <col min="29" max="29" width="12.125" style="484" bestFit="1" customWidth="1"/>
    <col min="30" max="30" width="7.75390625" style="484" customWidth="1"/>
    <col min="31" max="31" width="5.625" style="294" customWidth="1"/>
    <col min="32" max="32" width="4.375" style="294" customWidth="1"/>
    <col min="33" max="35" width="4.75390625" style="294" customWidth="1"/>
    <col min="36" max="36" width="5.50390625" style="294" customWidth="1"/>
    <col min="37" max="37" width="5.25390625" style="294" customWidth="1"/>
    <col min="38" max="38" width="4.375" style="294" customWidth="1"/>
    <col min="39" max="16384" width="9.00390625" style="294" customWidth="1"/>
  </cols>
  <sheetData>
    <row r="1" spans="1:30" ht="20.25">
      <c r="A1" s="295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28" ht="15.75">
      <c r="A2" s="294" t="s">
        <v>98</v>
      </c>
      <c r="F2" s="294" t="s">
        <v>258</v>
      </c>
      <c r="V2" s="294" t="s">
        <v>259</v>
      </c>
      <c r="AB2" s="294" t="s">
        <v>101</v>
      </c>
    </row>
    <row r="3" spans="1:30" s="620" customFormat="1" ht="15.75">
      <c r="A3" s="333" t="s">
        <v>102</v>
      </c>
      <c r="B3" s="334" t="s">
        <v>103</v>
      </c>
      <c r="C3" s="334" t="s">
        <v>104</v>
      </c>
      <c r="D3" s="334"/>
      <c r="E3" s="334"/>
      <c r="F3" s="335" t="s">
        <v>105</v>
      </c>
      <c r="G3" s="336"/>
      <c r="H3" s="336"/>
      <c r="I3" s="336" t="s">
        <v>106</v>
      </c>
      <c r="J3" s="336"/>
      <c r="K3" s="336"/>
      <c r="L3" s="336"/>
      <c r="M3" s="336"/>
      <c r="N3" s="336"/>
      <c r="O3" s="333" t="s">
        <v>107</v>
      </c>
      <c r="P3" s="333" t="s">
        <v>108</v>
      </c>
      <c r="Q3" s="341" t="s">
        <v>109</v>
      </c>
      <c r="R3" s="349"/>
      <c r="S3" s="349"/>
      <c r="T3" s="335"/>
      <c r="U3" s="336" t="s">
        <v>110</v>
      </c>
      <c r="V3" s="336"/>
      <c r="W3" s="341" t="s">
        <v>111</v>
      </c>
      <c r="X3" s="349"/>
      <c r="Y3" s="335"/>
      <c r="Z3" s="333" t="s">
        <v>112</v>
      </c>
      <c r="AA3" s="336" t="s">
        <v>113</v>
      </c>
      <c r="AB3" s="336"/>
      <c r="AC3" s="742" t="s">
        <v>114</v>
      </c>
      <c r="AD3" s="742" t="s">
        <v>115</v>
      </c>
    </row>
    <row r="4" spans="1:30" s="620" customFormat="1" ht="15.75" customHeight="1">
      <c r="A4" s="337"/>
      <c r="B4" s="334"/>
      <c r="C4" s="334" t="s">
        <v>116</v>
      </c>
      <c r="D4" s="334" t="s">
        <v>117</v>
      </c>
      <c r="E4" s="334" t="s">
        <v>118</v>
      </c>
      <c r="F4" s="303" t="s">
        <v>119</v>
      </c>
      <c r="G4" s="304"/>
      <c r="H4" s="304"/>
      <c r="I4" s="301" t="s">
        <v>120</v>
      </c>
      <c r="J4" s="301"/>
      <c r="K4" s="336" t="s">
        <v>121</v>
      </c>
      <c r="L4" s="336"/>
      <c r="M4" s="336" t="s">
        <v>122</v>
      </c>
      <c r="N4" s="336"/>
      <c r="O4" s="337"/>
      <c r="P4" s="347" t="s">
        <v>123</v>
      </c>
      <c r="Q4" s="333"/>
      <c r="R4" s="333"/>
      <c r="S4" s="333"/>
      <c r="T4" s="333"/>
      <c r="U4" s="336" t="s">
        <v>124</v>
      </c>
      <c r="V4" s="336"/>
      <c r="W4" s="333" t="s">
        <v>125</v>
      </c>
      <c r="X4" s="333" t="s">
        <v>126</v>
      </c>
      <c r="Y4" s="333" t="s">
        <v>126</v>
      </c>
      <c r="Z4" s="337" t="s">
        <v>127</v>
      </c>
      <c r="AA4" s="336" t="s">
        <v>128</v>
      </c>
      <c r="AB4" s="336"/>
      <c r="AC4" s="725" t="s">
        <v>129</v>
      </c>
      <c r="AD4" s="725" t="s">
        <v>130</v>
      </c>
    </row>
    <row r="5" spans="1:30" s="620" customFormat="1" ht="15.75" customHeight="1">
      <c r="A5" s="337"/>
      <c r="B5" s="334"/>
      <c r="C5" s="334"/>
      <c r="D5" s="334"/>
      <c r="E5" s="334"/>
      <c r="F5" s="303"/>
      <c r="G5" s="304"/>
      <c r="H5" s="304"/>
      <c r="I5" s="301"/>
      <c r="J5" s="301"/>
      <c r="K5" s="336"/>
      <c r="L5" s="336"/>
      <c r="M5" s="336"/>
      <c r="N5" s="336"/>
      <c r="O5" s="338" t="s">
        <v>131</v>
      </c>
      <c r="P5" s="348" t="s">
        <v>132</v>
      </c>
      <c r="Q5" s="337"/>
      <c r="R5" s="337" t="s">
        <v>133</v>
      </c>
      <c r="S5" s="337"/>
      <c r="T5" s="337"/>
      <c r="U5" s="336"/>
      <c r="V5" s="336"/>
      <c r="W5" s="337"/>
      <c r="X5" s="337"/>
      <c r="Y5" s="337"/>
      <c r="Z5" s="338" t="s">
        <v>134</v>
      </c>
      <c r="AA5" s="336"/>
      <c r="AB5" s="336"/>
      <c r="AC5" s="742" t="s">
        <v>135</v>
      </c>
      <c r="AD5" s="790" t="s">
        <v>136</v>
      </c>
    </row>
    <row r="6" spans="1:30" s="620" customFormat="1" ht="15.75">
      <c r="A6" s="338" t="s">
        <v>137</v>
      </c>
      <c r="B6" s="334"/>
      <c r="C6" s="334"/>
      <c r="D6" s="334"/>
      <c r="E6" s="334"/>
      <c r="F6" s="335" t="s">
        <v>120</v>
      </c>
      <c r="G6" s="336" t="s">
        <v>121</v>
      </c>
      <c r="H6" s="336" t="s">
        <v>122</v>
      </c>
      <c r="I6" s="336" t="s">
        <v>138</v>
      </c>
      <c r="J6" s="336" t="s">
        <v>139</v>
      </c>
      <c r="K6" s="336" t="s">
        <v>138</v>
      </c>
      <c r="L6" s="336" t="s">
        <v>139</v>
      </c>
      <c r="M6" s="336" t="s">
        <v>138</v>
      </c>
      <c r="N6" s="336" t="s">
        <v>139</v>
      </c>
      <c r="O6" s="336" t="s">
        <v>128</v>
      </c>
      <c r="P6" s="336" t="s">
        <v>128</v>
      </c>
      <c r="Q6" s="326" t="s">
        <v>140</v>
      </c>
      <c r="R6" s="338" t="s">
        <v>141</v>
      </c>
      <c r="S6" s="338" t="s">
        <v>142</v>
      </c>
      <c r="T6" s="338" t="s">
        <v>122</v>
      </c>
      <c r="U6" s="336" t="s">
        <v>138</v>
      </c>
      <c r="V6" s="336" t="s">
        <v>139</v>
      </c>
      <c r="W6" s="338"/>
      <c r="X6" s="338" t="s">
        <v>143</v>
      </c>
      <c r="Y6" s="338" t="s">
        <v>144</v>
      </c>
      <c r="Z6" s="336" t="s">
        <v>145</v>
      </c>
      <c r="AA6" s="304" t="s">
        <v>146</v>
      </c>
      <c r="AB6" s="304" t="s">
        <v>147</v>
      </c>
      <c r="AC6" s="725" t="s">
        <v>148</v>
      </c>
      <c r="AD6" s="791"/>
    </row>
    <row r="7" spans="1:30" ht="21.75" customHeight="1">
      <c r="A7" s="340">
        <v>1</v>
      </c>
      <c r="B7" s="340" t="s">
        <v>260</v>
      </c>
      <c r="C7" s="340"/>
      <c r="D7" s="340" t="s">
        <v>150</v>
      </c>
      <c r="E7" s="340"/>
      <c r="F7" s="340">
        <v>63.55</v>
      </c>
      <c r="G7" s="783">
        <v>23.475</v>
      </c>
      <c r="H7" s="783">
        <f aca="true" t="shared" si="0" ref="H7:H9">F7+G7</f>
        <v>87.025</v>
      </c>
      <c r="I7" s="340">
        <v>3090</v>
      </c>
      <c r="J7" s="340">
        <v>71</v>
      </c>
      <c r="K7" s="340">
        <v>7926.3</v>
      </c>
      <c r="L7" s="340">
        <v>60</v>
      </c>
      <c r="M7" s="340">
        <f aca="true" t="shared" si="1" ref="M7:N22">I7+K7</f>
        <v>11016.3</v>
      </c>
      <c r="N7" s="340">
        <f t="shared" si="1"/>
        <v>131</v>
      </c>
      <c r="O7" s="340">
        <v>393</v>
      </c>
      <c r="P7" s="340">
        <v>393</v>
      </c>
      <c r="Q7" s="340"/>
      <c r="R7" s="340">
        <v>3</v>
      </c>
      <c r="S7" s="340"/>
      <c r="T7" s="340">
        <v>3</v>
      </c>
      <c r="U7" s="340">
        <v>600</v>
      </c>
      <c r="V7" s="340">
        <v>1</v>
      </c>
      <c r="W7" s="718"/>
      <c r="X7" s="718">
        <v>78</v>
      </c>
      <c r="Y7" s="718">
        <v>4</v>
      </c>
      <c r="Z7" s="718">
        <v>10</v>
      </c>
      <c r="AA7" s="718">
        <v>15</v>
      </c>
      <c r="AB7" s="718">
        <v>10</v>
      </c>
      <c r="AC7" s="792">
        <v>561.0587</v>
      </c>
      <c r="AD7" s="793">
        <v>6.45783548738455</v>
      </c>
    </row>
    <row r="8" spans="1:30" ht="21.75" customHeight="1">
      <c r="A8" s="340">
        <v>2</v>
      </c>
      <c r="B8" s="340" t="s">
        <v>261</v>
      </c>
      <c r="C8" s="340"/>
      <c r="D8" s="340"/>
      <c r="E8" s="340" t="s">
        <v>150</v>
      </c>
      <c r="F8" s="340"/>
      <c r="G8" s="340">
        <v>15.37</v>
      </c>
      <c r="H8" s="340">
        <f t="shared" si="0"/>
        <v>15.37</v>
      </c>
      <c r="I8" s="340"/>
      <c r="J8" s="340"/>
      <c r="K8" s="340">
        <v>450</v>
      </c>
      <c r="L8" s="340">
        <v>6</v>
      </c>
      <c r="M8" s="340">
        <f t="shared" si="1"/>
        <v>450</v>
      </c>
      <c r="N8" s="340">
        <f t="shared" si="1"/>
        <v>6</v>
      </c>
      <c r="O8" s="340">
        <v>18</v>
      </c>
      <c r="P8" s="340">
        <v>18</v>
      </c>
      <c r="Q8" s="340"/>
      <c r="R8" s="340"/>
      <c r="S8" s="340"/>
      <c r="T8" s="340"/>
      <c r="U8" s="340"/>
      <c r="V8" s="340"/>
      <c r="W8" s="718"/>
      <c r="X8" s="718"/>
      <c r="Y8" s="718"/>
      <c r="Z8" s="718">
        <v>6</v>
      </c>
      <c r="AA8" s="718">
        <v>6</v>
      </c>
      <c r="AB8" s="718">
        <v>6</v>
      </c>
      <c r="AC8" s="794">
        <v>249.08</v>
      </c>
      <c r="AD8" s="795">
        <v>0</v>
      </c>
    </row>
    <row r="9" spans="1:30" ht="21.75" customHeight="1">
      <c r="A9" s="340">
        <v>3</v>
      </c>
      <c r="B9" s="340" t="s">
        <v>262</v>
      </c>
      <c r="C9" s="340"/>
      <c r="D9" s="340" t="s">
        <v>150</v>
      </c>
      <c r="E9" s="340"/>
      <c r="F9" s="340">
        <v>21.67</v>
      </c>
      <c r="G9" s="340">
        <v>1.32</v>
      </c>
      <c r="H9" s="340">
        <f t="shared" si="0"/>
        <v>22.990000000000002</v>
      </c>
      <c r="I9" s="340">
        <v>1080</v>
      </c>
      <c r="J9" s="340">
        <v>26</v>
      </c>
      <c r="K9" s="340">
        <v>680</v>
      </c>
      <c r="L9" s="340">
        <v>16</v>
      </c>
      <c r="M9" s="340">
        <f t="shared" si="1"/>
        <v>1760</v>
      </c>
      <c r="N9" s="340">
        <f t="shared" si="1"/>
        <v>42</v>
      </c>
      <c r="O9" s="340">
        <v>126</v>
      </c>
      <c r="P9" s="340">
        <v>126</v>
      </c>
      <c r="Q9" s="340"/>
      <c r="R9" s="340">
        <v>3</v>
      </c>
      <c r="S9" s="340"/>
      <c r="T9" s="340">
        <v>3</v>
      </c>
      <c r="U9" s="340"/>
      <c r="V9" s="340"/>
      <c r="W9" s="718"/>
      <c r="X9" s="718">
        <v>36</v>
      </c>
      <c r="Y9" s="718">
        <v>2</v>
      </c>
      <c r="Z9" s="718">
        <v>2</v>
      </c>
      <c r="AA9" s="718">
        <v>2</v>
      </c>
      <c r="AB9" s="718">
        <v>2</v>
      </c>
      <c r="AC9" s="794">
        <v>269.5434</v>
      </c>
      <c r="AD9" s="795">
        <v>4.8840442650255484</v>
      </c>
    </row>
    <row r="10" spans="1:30" ht="21.75" customHeight="1">
      <c r="A10" s="340">
        <v>4</v>
      </c>
      <c r="B10" s="340" t="s">
        <v>263</v>
      </c>
      <c r="C10" s="340"/>
      <c r="D10" s="340" t="s">
        <v>150</v>
      </c>
      <c r="E10" s="340"/>
      <c r="F10" s="340">
        <v>146.82</v>
      </c>
      <c r="G10" s="340">
        <v>36.15</v>
      </c>
      <c r="H10" s="340">
        <f aca="true" t="shared" si="2" ref="H10:H32">F10+G10</f>
        <v>182.97</v>
      </c>
      <c r="I10" s="340">
        <v>1780</v>
      </c>
      <c r="J10" s="340">
        <v>55</v>
      </c>
      <c r="K10" s="340">
        <v>5342.6</v>
      </c>
      <c r="L10" s="340">
        <v>71</v>
      </c>
      <c r="M10" s="340">
        <f t="shared" si="1"/>
        <v>7122.6</v>
      </c>
      <c r="N10" s="340">
        <f t="shared" si="1"/>
        <v>126</v>
      </c>
      <c r="O10" s="340">
        <v>378</v>
      </c>
      <c r="P10" s="340">
        <v>378</v>
      </c>
      <c r="Q10" s="340"/>
      <c r="R10" s="340">
        <v>6</v>
      </c>
      <c r="S10" s="340"/>
      <c r="T10" s="340">
        <v>6</v>
      </c>
      <c r="U10" s="340">
        <v>1200</v>
      </c>
      <c r="V10" s="340">
        <v>2</v>
      </c>
      <c r="W10" s="718">
        <v>1</v>
      </c>
      <c r="X10" s="718">
        <v>53</v>
      </c>
      <c r="Y10" s="718">
        <v>1</v>
      </c>
      <c r="Z10" s="718">
        <v>3</v>
      </c>
      <c r="AA10" s="718">
        <v>3</v>
      </c>
      <c r="AB10" s="718">
        <v>7</v>
      </c>
      <c r="AC10" s="794">
        <v>390.4054</v>
      </c>
      <c r="AD10" s="795">
        <v>3.25</v>
      </c>
    </row>
    <row r="11" spans="1:30" ht="21.75" customHeight="1">
      <c r="A11" s="340">
        <v>5</v>
      </c>
      <c r="B11" s="340" t="s">
        <v>264</v>
      </c>
      <c r="C11" s="340"/>
      <c r="D11" s="340"/>
      <c r="E11" s="340" t="s">
        <v>150</v>
      </c>
      <c r="F11" s="340"/>
      <c r="G11" s="340">
        <v>30.118</v>
      </c>
      <c r="H11" s="340">
        <f t="shared" si="2"/>
        <v>30.118</v>
      </c>
      <c r="I11" s="340"/>
      <c r="J11" s="340"/>
      <c r="K11" s="340">
        <v>1100</v>
      </c>
      <c r="L11" s="340">
        <v>74</v>
      </c>
      <c r="M11" s="340">
        <f t="shared" si="1"/>
        <v>1100</v>
      </c>
      <c r="N11" s="340">
        <f t="shared" si="1"/>
        <v>74</v>
      </c>
      <c r="O11" s="340">
        <v>222</v>
      </c>
      <c r="P11" s="340">
        <v>222</v>
      </c>
      <c r="Q11" s="340"/>
      <c r="R11" s="340"/>
      <c r="S11" s="340"/>
      <c r="T11" s="340"/>
      <c r="U11" s="340"/>
      <c r="V11" s="340"/>
      <c r="W11" s="718"/>
      <c r="X11" s="718">
        <f>W941</f>
        <v>0</v>
      </c>
      <c r="Y11" s="718"/>
      <c r="Z11" s="718">
        <v>5</v>
      </c>
      <c r="AA11" s="718">
        <v>8</v>
      </c>
      <c r="AB11" s="718">
        <v>5</v>
      </c>
      <c r="AC11" s="794">
        <v>408.6862</v>
      </c>
      <c r="AD11" s="795">
        <v>0</v>
      </c>
    </row>
    <row r="12" spans="1:30" ht="21.75" customHeight="1">
      <c r="A12" s="340">
        <v>6</v>
      </c>
      <c r="B12" s="340" t="s">
        <v>265</v>
      </c>
      <c r="C12" s="340"/>
      <c r="D12" s="340"/>
      <c r="E12" s="340" t="s">
        <v>150</v>
      </c>
      <c r="F12" s="340"/>
      <c r="G12" s="340">
        <v>10.13</v>
      </c>
      <c r="H12" s="340">
        <f t="shared" si="2"/>
        <v>10.13</v>
      </c>
      <c r="I12" s="340"/>
      <c r="J12" s="340"/>
      <c r="K12" s="340">
        <v>380</v>
      </c>
      <c r="L12" s="340">
        <v>3</v>
      </c>
      <c r="M12" s="340">
        <f t="shared" si="1"/>
        <v>380</v>
      </c>
      <c r="N12" s="340">
        <f t="shared" si="1"/>
        <v>3</v>
      </c>
      <c r="O12" s="340">
        <v>15</v>
      </c>
      <c r="P12" s="340">
        <v>15</v>
      </c>
      <c r="Q12" s="340"/>
      <c r="R12" s="340"/>
      <c r="S12" s="340"/>
      <c r="T12" s="340"/>
      <c r="U12" s="340"/>
      <c r="V12" s="340"/>
      <c r="W12" s="718"/>
      <c r="X12" s="718">
        <v>2</v>
      </c>
      <c r="Y12" s="718"/>
      <c r="Z12" s="718">
        <v>9</v>
      </c>
      <c r="AA12" s="718">
        <v>9</v>
      </c>
      <c r="AB12" s="718">
        <v>9</v>
      </c>
      <c r="AC12" s="794">
        <v>61.5785</v>
      </c>
      <c r="AD12" s="795">
        <v>0</v>
      </c>
    </row>
    <row r="13" spans="1:30" ht="21.75" customHeight="1">
      <c r="A13" s="340">
        <v>7</v>
      </c>
      <c r="B13" s="340" t="s">
        <v>266</v>
      </c>
      <c r="C13" s="340"/>
      <c r="D13" s="340" t="s">
        <v>150</v>
      </c>
      <c r="E13" s="340"/>
      <c r="F13" s="340">
        <v>51.4</v>
      </c>
      <c r="G13" s="340">
        <v>5.96</v>
      </c>
      <c r="H13" s="340">
        <f t="shared" si="2"/>
        <v>57.36</v>
      </c>
      <c r="I13" s="340">
        <v>2650</v>
      </c>
      <c r="J13" s="340">
        <v>49</v>
      </c>
      <c r="K13" s="340">
        <v>2630</v>
      </c>
      <c r="L13" s="340">
        <v>33</v>
      </c>
      <c r="M13" s="340">
        <f t="shared" si="1"/>
        <v>5280</v>
      </c>
      <c r="N13" s="340">
        <f t="shared" si="1"/>
        <v>82</v>
      </c>
      <c r="O13" s="340">
        <v>246</v>
      </c>
      <c r="P13" s="340">
        <v>246</v>
      </c>
      <c r="Q13" s="340"/>
      <c r="R13" s="340">
        <v>2</v>
      </c>
      <c r="S13" s="340"/>
      <c r="T13" s="340">
        <v>2</v>
      </c>
      <c r="U13" s="340">
        <v>1200</v>
      </c>
      <c r="V13" s="340">
        <v>2</v>
      </c>
      <c r="W13" s="718"/>
      <c r="X13" s="718">
        <v>55</v>
      </c>
      <c r="Y13" s="718">
        <v>2</v>
      </c>
      <c r="Z13" s="718">
        <v>8</v>
      </c>
      <c r="AA13" s="718">
        <v>12</v>
      </c>
      <c r="AB13" s="718">
        <v>8</v>
      </c>
      <c r="AC13" s="794">
        <v>658.6991</v>
      </c>
      <c r="AD13" s="795">
        <v>7.37</v>
      </c>
    </row>
    <row r="14" spans="1:30" ht="21.75" customHeight="1">
      <c r="A14" s="340">
        <v>8</v>
      </c>
      <c r="B14" s="340" t="s">
        <v>267</v>
      </c>
      <c r="C14" s="340"/>
      <c r="D14" s="340" t="s">
        <v>150</v>
      </c>
      <c r="E14" s="340"/>
      <c r="F14" s="340">
        <v>55.98</v>
      </c>
      <c r="G14" s="340">
        <v>2.85</v>
      </c>
      <c r="H14" s="340">
        <f t="shared" si="2"/>
        <v>58.83</v>
      </c>
      <c r="I14" s="340">
        <v>3250</v>
      </c>
      <c r="J14" s="340">
        <v>61</v>
      </c>
      <c r="K14" s="340">
        <v>3575</v>
      </c>
      <c r="L14" s="340">
        <v>68</v>
      </c>
      <c r="M14" s="340">
        <f t="shared" si="1"/>
        <v>6825</v>
      </c>
      <c r="N14" s="340">
        <f t="shared" si="1"/>
        <v>129</v>
      </c>
      <c r="O14" s="340">
        <v>387</v>
      </c>
      <c r="P14" s="340">
        <v>387</v>
      </c>
      <c r="Q14" s="340"/>
      <c r="R14" s="340">
        <v>3</v>
      </c>
      <c r="S14" s="340"/>
      <c r="T14" s="340">
        <v>3</v>
      </c>
      <c r="U14" s="340">
        <v>600</v>
      </c>
      <c r="V14" s="340">
        <v>1</v>
      </c>
      <c r="W14" s="718">
        <v>2</v>
      </c>
      <c r="X14" s="718">
        <v>68</v>
      </c>
      <c r="Y14" s="718">
        <v>4</v>
      </c>
      <c r="Z14" s="718">
        <v>2</v>
      </c>
      <c r="AA14" s="718">
        <v>21</v>
      </c>
      <c r="AB14" s="718">
        <v>2</v>
      </c>
      <c r="AC14" s="794">
        <v>718.3054</v>
      </c>
      <c r="AD14" s="795">
        <v>6.08</v>
      </c>
    </row>
    <row r="15" spans="1:30" ht="21.75" customHeight="1">
      <c r="A15" s="340">
        <v>9</v>
      </c>
      <c r="B15" s="340" t="s">
        <v>268</v>
      </c>
      <c r="C15" s="340"/>
      <c r="D15" s="340" t="s">
        <v>150</v>
      </c>
      <c r="E15" s="340"/>
      <c r="F15" s="548">
        <v>39.005</v>
      </c>
      <c r="G15" s="340">
        <v>6.62</v>
      </c>
      <c r="H15" s="340">
        <f t="shared" si="2"/>
        <v>45.625</v>
      </c>
      <c r="I15" s="340">
        <v>1050</v>
      </c>
      <c r="J15" s="340">
        <v>31</v>
      </c>
      <c r="K15" s="340">
        <v>6740</v>
      </c>
      <c r="L15" s="340">
        <v>32</v>
      </c>
      <c r="M15" s="340">
        <f t="shared" si="1"/>
        <v>7790</v>
      </c>
      <c r="N15" s="340">
        <f t="shared" si="1"/>
        <v>63</v>
      </c>
      <c r="O15" s="340">
        <v>189</v>
      </c>
      <c r="P15" s="340">
        <v>189</v>
      </c>
      <c r="Q15" s="340"/>
      <c r="R15" s="340">
        <v>2</v>
      </c>
      <c r="S15" s="340"/>
      <c r="T15" s="340">
        <v>2</v>
      </c>
      <c r="U15" s="340"/>
      <c r="V15" s="340"/>
      <c r="W15" s="718">
        <v>2</v>
      </c>
      <c r="X15" s="718">
        <v>54</v>
      </c>
      <c r="Y15" s="718">
        <v>3</v>
      </c>
      <c r="Z15" s="718">
        <v>4</v>
      </c>
      <c r="AA15" s="718">
        <v>9</v>
      </c>
      <c r="AB15" s="718">
        <v>4</v>
      </c>
      <c r="AC15" s="794">
        <v>608.5432</v>
      </c>
      <c r="AD15" s="795">
        <v>7.21</v>
      </c>
    </row>
    <row r="16" spans="1:30" ht="21.75" customHeight="1">
      <c r="A16" s="340">
        <v>10</v>
      </c>
      <c r="B16" s="340" t="s">
        <v>269</v>
      </c>
      <c r="C16" s="340"/>
      <c r="D16" s="340" t="s">
        <v>150</v>
      </c>
      <c r="E16" s="340"/>
      <c r="F16" s="548">
        <v>13.13</v>
      </c>
      <c r="G16" s="340">
        <v>6.67</v>
      </c>
      <c r="H16" s="340">
        <f t="shared" si="2"/>
        <v>19.8</v>
      </c>
      <c r="I16" s="340">
        <v>3530</v>
      </c>
      <c r="J16" s="340">
        <v>52</v>
      </c>
      <c r="K16" s="340">
        <v>7386</v>
      </c>
      <c r="L16" s="340">
        <v>58</v>
      </c>
      <c r="M16" s="340">
        <f t="shared" si="1"/>
        <v>10916</v>
      </c>
      <c r="N16" s="340">
        <f t="shared" si="1"/>
        <v>110</v>
      </c>
      <c r="O16" s="340">
        <v>330</v>
      </c>
      <c r="P16" s="340">
        <v>330</v>
      </c>
      <c r="Q16" s="340"/>
      <c r="R16" s="340">
        <v>3</v>
      </c>
      <c r="S16" s="340"/>
      <c r="T16" s="340">
        <v>3</v>
      </c>
      <c r="U16" s="340"/>
      <c r="V16" s="340"/>
      <c r="W16" s="718">
        <v>2</v>
      </c>
      <c r="X16" s="718">
        <v>30</v>
      </c>
      <c r="Y16" s="718">
        <v>5</v>
      </c>
      <c r="Z16" s="718">
        <v>3</v>
      </c>
      <c r="AA16" s="718">
        <v>13</v>
      </c>
      <c r="AB16" s="718">
        <v>3</v>
      </c>
      <c r="AC16" s="794">
        <v>931.6553</v>
      </c>
      <c r="AD16" s="795">
        <v>8.5</v>
      </c>
    </row>
    <row r="17" spans="1:30" ht="21.75" customHeight="1">
      <c r="A17" s="340">
        <v>11</v>
      </c>
      <c r="B17" s="340" t="s">
        <v>270</v>
      </c>
      <c r="C17" s="340"/>
      <c r="D17" s="340" t="s">
        <v>150</v>
      </c>
      <c r="E17" s="340"/>
      <c r="F17" s="548">
        <v>60.19</v>
      </c>
      <c r="G17" s="340">
        <v>2.39</v>
      </c>
      <c r="H17" s="340">
        <f t="shared" si="2"/>
        <v>62.58</v>
      </c>
      <c r="I17" s="340">
        <v>940</v>
      </c>
      <c r="J17" s="340">
        <v>31</v>
      </c>
      <c r="K17" s="340">
        <v>1805</v>
      </c>
      <c r="L17" s="340">
        <v>18</v>
      </c>
      <c r="M17" s="340">
        <f t="shared" si="1"/>
        <v>2745</v>
      </c>
      <c r="N17" s="340">
        <f t="shared" si="1"/>
        <v>49</v>
      </c>
      <c r="O17" s="340">
        <v>147</v>
      </c>
      <c r="P17" s="340">
        <v>147</v>
      </c>
      <c r="Q17" s="340"/>
      <c r="R17" s="340"/>
      <c r="S17" s="340"/>
      <c r="T17" s="340"/>
      <c r="U17" s="340"/>
      <c r="V17" s="340"/>
      <c r="W17" s="718"/>
      <c r="X17" s="718">
        <v>53</v>
      </c>
      <c r="Y17" s="718">
        <v>5</v>
      </c>
      <c r="Z17" s="718">
        <v>3</v>
      </c>
      <c r="AA17" s="718">
        <v>8</v>
      </c>
      <c r="AB17" s="718">
        <v>3</v>
      </c>
      <c r="AC17" s="794">
        <v>231.4281</v>
      </c>
      <c r="AD17" s="795">
        <v>7.91</v>
      </c>
    </row>
    <row r="18" spans="1:30" ht="21.75" customHeight="1">
      <c r="A18" s="340">
        <v>12</v>
      </c>
      <c r="B18" s="340" t="s">
        <v>271</v>
      </c>
      <c r="C18" s="340" t="s">
        <v>150</v>
      </c>
      <c r="D18" s="340"/>
      <c r="E18" s="340"/>
      <c r="F18" s="548">
        <v>10.5</v>
      </c>
      <c r="G18" s="340">
        <v>2.64</v>
      </c>
      <c r="H18" s="340">
        <f t="shared" si="2"/>
        <v>13.14</v>
      </c>
      <c r="I18" s="340">
        <v>1040</v>
      </c>
      <c r="J18" s="340">
        <v>9</v>
      </c>
      <c r="K18" s="340">
        <v>6935</v>
      </c>
      <c r="L18" s="340">
        <v>41</v>
      </c>
      <c r="M18" s="340">
        <f t="shared" si="1"/>
        <v>7975</v>
      </c>
      <c r="N18" s="340">
        <f t="shared" si="1"/>
        <v>50</v>
      </c>
      <c r="O18" s="340">
        <v>150</v>
      </c>
      <c r="P18" s="340">
        <v>150</v>
      </c>
      <c r="Q18" s="340"/>
      <c r="R18" s="340">
        <v>5</v>
      </c>
      <c r="S18" s="340"/>
      <c r="T18" s="340">
        <v>5</v>
      </c>
      <c r="U18" s="340"/>
      <c r="V18" s="340"/>
      <c r="W18" s="718">
        <v>330</v>
      </c>
      <c r="X18" s="718">
        <v>189</v>
      </c>
      <c r="Y18" s="718">
        <v>12</v>
      </c>
      <c r="Z18" s="718">
        <v>2</v>
      </c>
      <c r="AA18" s="718">
        <v>4</v>
      </c>
      <c r="AB18" s="718">
        <v>4</v>
      </c>
      <c r="AC18" s="794">
        <v>2579.9692</v>
      </c>
      <c r="AD18" s="795">
        <v>3.42</v>
      </c>
    </row>
    <row r="19" spans="1:30" ht="21.75" customHeight="1">
      <c r="A19" s="340">
        <v>13</v>
      </c>
      <c r="B19" s="340" t="s">
        <v>272</v>
      </c>
      <c r="C19" s="340"/>
      <c r="D19" s="340"/>
      <c r="E19" s="340" t="s">
        <v>150</v>
      </c>
      <c r="F19" s="548"/>
      <c r="G19" s="340">
        <v>0.607</v>
      </c>
      <c r="H19" s="340">
        <f t="shared" si="2"/>
        <v>0.607</v>
      </c>
      <c r="I19" s="340"/>
      <c r="J19" s="340"/>
      <c r="K19" s="340">
        <v>960</v>
      </c>
      <c r="L19" s="340">
        <v>2</v>
      </c>
      <c r="M19" s="340">
        <f t="shared" si="1"/>
        <v>960</v>
      </c>
      <c r="N19" s="340">
        <f t="shared" si="1"/>
        <v>2</v>
      </c>
      <c r="O19" s="340">
        <v>6</v>
      </c>
      <c r="P19" s="340">
        <v>6</v>
      </c>
      <c r="Q19" s="340"/>
      <c r="R19" s="340">
        <v>1</v>
      </c>
      <c r="S19" s="340"/>
      <c r="T19" s="340">
        <v>1</v>
      </c>
      <c r="U19" s="340"/>
      <c r="V19" s="340"/>
      <c r="W19" s="718"/>
      <c r="X19" s="718"/>
      <c r="Y19" s="718"/>
      <c r="Z19" s="718">
        <v>1</v>
      </c>
      <c r="AA19" s="718">
        <v>1</v>
      </c>
      <c r="AB19" s="718">
        <v>1</v>
      </c>
      <c r="AC19" s="794">
        <v>139.5072</v>
      </c>
      <c r="AD19" s="795">
        <v>0</v>
      </c>
    </row>
    <row r="20" spans="1:30" s="484" customFormat="1" ht="21.75" customHeight="1">
      <c r="A20" s="718">
        <v>14</v>
      </c>
      <c r="B20" s="718" t="s">
        <v>273</v>
      </c>
      <c r="C20" s="718"/>
      <c r="D20" s="718" t="s">
        <v>150</v>
      </c>
      <c r="E20" s="718"/>
      <c r="F20" s="718">
        <v>73.9</v>
      </c>
      <c r="G20" s="718">
        <v>2.29</v>
      </c>
      <c r="H20" s="718">
        <f t="shared" si="2"/>
        <v>76.19000000000001</v>
      </c>
      <c r="I20" s="718">
        <v>1431.3</v>
      </c>
      <c r="J20" s="718">
        <v>34</v>
      </c>
      <c r="K20" s="718">
        <v>875</v>
      </c>
      <c r="L20" s="718">
        <v>13</v>
      </c>
      <c r="M20" s="718">
        <f t="shared" si="1"/>
        <v>2306.3</v>
      </c>
      <c r="N20" s="718">
        <f t="shared" si="1"/>
        <v>47</v>
      </c>
      <c r="O20" s="718">
        <v>141</v>
      </c>
      <c r="P20" s="718">
        <v>141</v>
      </c>
      <c r="Q20" s="718"/>
      <c r="R20" s="718">
        <v>2</v>
      </c>
      <c r="S20" s="718"/>
      <c r="T20" s="718">
        <v>2</v>
      </c>
      <c r="U20" s="718"/>
      <c r="V20" s="718"/>
      <c r="W20" s="718">
        <v>1</v>
      </c>
      <c r="X20" s="718">
        <v>36</v>
      </c>
      <c r="Y20" s="718">
        <v>1</v>
      </c>
      <c r="Z20" s="718">
        <v>3</v>
      </c>
      <c r="AA20" s="718">
        <v>3</v>
      </c>
      <c r="AB20" s="718">
        <v>3</v>
      </c>
      <c r="AC20" s="794">
        <v>354.5276</v>
      </c>
      <c r="AD20" s="795">
        <v>5.12</v>
      </c>
    </row>
    <row r="21" spans="1:30" ht="21.75" customHeight="1">
      <c r="A21" s="340">
        <v>15</v>
      </c>
      <c r="B21" s="340" t="s">
        <v>274</v>
      </c>
      <c r="C21" s="340"/>
      <c r="D21" s="340" t="s">
        <v>150</v>
      </c>
      <c r="E21" s="340"/>
      <c r="F21" s="548">
        <v>60.4</v>
      </c>
      <c r="G21" s="340">
        <v>4.54</v>
      </c>
      <c r="H21" s="340">
        <f t="shared" si="2"/>
        <v>64.94</v>
      </c>
      <c r="I21" s="340">
        <v>850</v>
      </c>
      <c r="J21" s="340">
        <v>35</v>
      </c>
      <c r="K21" s="340">
        <v>1130</v>
      </c>
      <c r="L21" s="340">
        <v>21</v>
      </c>
      <c r="M21" s="340">
        <f t="shared" si="1"/>
        <v>1980</v>
      </c>
      <c r="N21" s="340">
        <f t="shared" si="1"/>
        <v>56</v>
      </c>
      <c r="O21" s="340">
        <v>168</v>
      </c>
      <c r="P21" s="340">
        <v>168</v>
      </c>
      <c r="Q21" s="340"/>
      <c r="R21" s="340"/>
      <c r="S21" s="340"/>
      <c r="T21" s="340"/>
      <c r="U21" s="340"/>
      <c r="V21" s="340"/>
      <c r="W21" s="718">
        <v>2</v>
      </c>
      <c r="X21" s="718">
        <v>67</v>
      </c>
      <c r="Y21" s="718">
        <v>1</v>
      </c>
      <c r="Z21" s="718">
        <v>1</v>
      </c>
      <c r="AA21" s="718">
        <v>4</v>
      </c>
      <c r="AB21" s="718">
        <v>1</v>
      </c>
      <c r="AC21" s="794">
        <v>238.152</v>
      </c>
      <c r="AD21" s="795">
        <v>5.26</v>
      </c>
    </row>
    <row r="22" spans="1:30" ht="21.75" customHeight="1">
      <c r="A22" s="340">
        <v>16</v>
      </c>
      <c r="B22" s="340" t="s">
        <v>275</v>
      </c>
      <c r="C22" s="340"/>
      <c r="D22" s="340"/>
      <c r="E22" s="340" t="s">
        <v>150</v>
      </c>
      <c r="F22" s="548"/>
      <c r="G22" s="340">
        <v>20.67</v>
      </c>
      <c r="H22" s="340">
        <f t="shared" si="2"/>
        <v>20.67</v>
      </c>
      <c r="I22" s="340">
        <v>550</v>
      </c>
      <c r="J22" s="340">
        <v>21</v>
      </c>
      <c r="K22" s="340"/>
      <c r="L22" s="340"/>
      <c r="M22" s="340">
        <f t="shared" si="1"/>
        <v>550</v>
      </c>
      <c r="N22" s="340">
        <f t="shared" si="1"/>
        <v>21</v>
      </c>
      <c r="O22" s="340">
        <v>63</v>
      </c>
      <c r="P22" s="340">
        <v>63</v>
      </c>
      <c r="Q22" s="340"/>
      <c r="R22" s="340"/>
      <c r="S22" s="340"/>
      <c r="T22" s="340"/>
      <c r="U22" s="340"/>
      <c r="V22" s="340"/>
      <c r="W22" s="718"/>
      <c r="X22" s="718"/>
      <c r="Y22" s="718"/>
      <c r="Z22" s="718">
        <v>12</v>
      </c>
      <c r="AA22" s="718">
        <v>12</v>
      </c>
      <c r="AB22" s="718">
        <v>12</v>
      </c>
      <c r="AC22" s="794">
        <v>102.3058</v>
      </c>
      <c r="AD22" s="795">
        <v>0</v>
      </c>
    </row>
    <row r="23" spans="1:30" ht="21.75" customHeight="1">
      <c r="A23" s="336">
        <v>17</v>
      </c>
      <c r="B23" s="784" t="s">
        <v>276</v>
      </c>
      <c r="C23" s="340"/>
      <c r="D23" s="340" t="s">
        <v>150</v>
      </c>
      <c r="F23" s="548">
        <v>75.845</v>
      </c>
      <c r="G23" s="340">
        <v>3.97</v>
      </c>
      <c r="H23" s="340">
        <f t="shared" si="2"/>
        <v>79.815</v>
      </c>
      <c r="I23" s="340">
        <v>2110</v>
      </c>
      <c r="J23" s="340">
        <v>37</v>
      </c>
      <c r="K23" s="340">
        <v>600</v>
      </c>
      <c r="L23" s="340">
        <v>18</v>
      </c>
      <c r="M23" s="340">
        <f aca="true" t="shared" si="3" ref="M23:N32">I23+K23</f>
        <v>2710</v>
      </c>
      <c r="N23" s="340">
        <f t="shared" si="3"/>
        <v>55</v>
      </c>
      <c r="O23" s="340">
        <v>165</v>
      </c>
      <c r="P23" s="340">
        <v>165</v>
      </c>
      <c r="Q23" s="340"/>
      <c r="R23" s="340">
        <v>1</v>
      </c>
      <c r="S23" s="340"/>
      <c r="T23" s="340">
        <v>1</v>
      </c>
      <c r="U23" s="340"/>
      <c r="V23" s="340"/>
      <c r="W23" s="718">
        <v>1</v>
      </c>
      <c r="X23" s="718">
        <v>49</v>
      </c>
      <c r="Y23" s="718">
        <v>1</v>
      </c>
      <c r="Z23" s="718">
        <v>1</v>
      </c>
      <c r="AA23" s="718">
        <v>4</v>
      </c>
      <c r="AB23" s="718">
        <v>1</v>
      </c>
      <c r="AC23" s="794">
        <v>252.5855</v>
      </c>
      <c r="AD23" s="795">
        <v>5.25</v>
      </c>
    </row>
    <row r="24" spans="1:30" ht="21.75" customHeight="1">
      <c r="A24" s="336">
        <v>18</v>
      </c>
      <c r="B24" s="336" t="s">
        <v>277</v>
      </c>
      <c r="C24" s="340"/>
      <c r="D24" s="340"/>
      <c r="E24" s="340" t="s">
        <v>150</v>
      </c>
      <c r="F24" s="548"/>
      <c r="G24" s="340">
        <v>1.7</v>
      </c>
      <c r="H24" s="340">
        <f t="shared" si="2"/>
        <v>1.7</v>
      </c>
      <c r="I24" s="340"/>
      <c r="J24" s="340"/>
      <c r="K24" s="340">
        <v>365</v>
      </c>
      <c r="L24" s="340">
        <v>2</v>
      </c>
      <c r="M24" s="340">
        <f t="shared" si="3"/>
        <v>365</v>
      </c>
      <c r="N24" s="340">
        <f t="shared" si="3"/>
        <v>2</v>
      </c>
      <c r="O24" s="340">
        <v>6</v>
      </c>
      <c r="P24" s="340">
        <v>6</v>
      </c>
      <c r="Q24" s="340"/>
      <c r="R24" s="340"/>
      <c r="S24" s="340"/>
      <c r="T24" s="340"/>
      <c r="U24" s="340"/>
      <c r="V24" s="340"/>
      <c r="W24" s="718"/>
      <c r="X24" s="718"/>
      <c r="Y24" s="718"/>
      <c r="Z24" s="718">
        <v>2</v>
      </c>
      <c r="AA24" s="718">
        <v>2</v>
      </c>
      <c r="AB24" s="718">
        <v>2</v>
      </c>
      <c r="AC24" s="794">
        <v>5.1575</v>
      </c>
      <c r="AD24" s="795">
        <v>0</v>
      </c>
    </row>
    <row r="25" spans="1:30" ht="21.75" customHeight="1">
      <c r="A25" s="340">
        <v>19</v>
      </c>
      <c r="B25" s="784" t="s">
        <v>278</v>
      </c>
      <c r="C25" s="340"/>
      <c r="D25" s="340" t="s">
        <v>150</v>
      </c>
      <c r="E25" s="340"/>
      <c r="F25" s="548">
        <v>16.4</v>
      </c>
      <c r="G25" s="340">
        <v>0.1</v>
      </c>
      <c r="H25" s="340">
        <f t="shared" si="2"/>
        <v>16.5</v>
      </c>
      <c r="I25" s="340">
        <v>100</v>
      </c>
      <c r="J25" s="340">
        <v>3</v>
      </c>
      <c r="K25" s="340">
        <v>320</v>
      </c>
      <c r="L25" s="340">
        <v>4</v>
      </c>
      <c r="M25" s="340">
        <f t="shared" si="3"/>
        <v>420</v>
      </c>
      <c r="N25" s="340">
        <f t="shared" si="3"/>
        <v>7</v>
      </c>
      <c r="O25" s="340">
        <v>21</v>
      </c>
      <c r="P25" s="340">
        <v>21</v>
      </c>
      <c r="Q25" s="340"/>
      <c r="R25" s="340"/>
      <c r="S25" s="340"/>
      <c r="T25" s="340"/>
      <c r="U25" s="340"/>
      <c r="V25" s="340"/>
      <c r="W25" s="718">
        <v>1</v>
      </c>
      <c r="X25" s="718">
        <v>7</v>
      </c>
      <c r="Y25" s="718"/>
      <c r="Z25" s="718">
        <v>1</v>
      </c>
      <c r="AA25" s="718">
        <v>1</v>
      </c>
      <c r="AB25" s="718">
        <v>1</v>
      </c>
      <c r="AC25" s="794">
        <v>135.7981</v>
      </c>
      <c r="AD25" s="795">
        <v>8.15</v>
      </c>
    </row>
    <row r="26" spans="1:30" ht="21.75" customHeight="1">
      <c r="A26" s="336">
        <v>20</v>
      </c>
      <c r="B26" s="336" t="s">
        <v>279</v>
      </c>
      <c r="C26" s="340" t="s">
        <v>150</v>
      </c>
      <c r="D26" s="340"/>
      <c r="E26" s="340"/>
      <c r="F26" s="548">
        <v>8.06</v>
      </c>
      <c r="G26" s="340">
        <v>0.73</v>
      </c>
      <c r="H26" s="340">
        <f t="shared" si="2"/>
        <v>8.790000000000001</v>
      </c>
      <c r="I26" s="340">
        <v>990</v>
      </c>
      <c r="J26" s="340">
        <v>4</v>
      </c>
      <c r="K26" s="340">
        <v>2480</v>
      </c>
      <c r="L26" s="340">
        <v>10</v>
      </c>
      <c r="M26" s="340">
        <f t="shared" si="3"/>
        <v>3470</v>
      </c>
      <c r="N26" s="340">
        <f t="shared" si="3"/>
        <v>14</v>
      </c>
      <c r="O26" s="340">
        <v>42</v>
      </c>
      <c r="P26" s="340">
        <v>42</v>
      </c>
      <c r="Q26" s="340"/>
      <c r="R26" s="340"/>
      <c r="S26" s="340"/>
      <c r="T26" s="340"/>
      <c r="U26" s="340"/>
      <c r="V26" s="340"/>
      <c r="W26" s="718">
        <v>4</v>
      </c>
      <c r="X26" s="718">
        <v>18</v>
      </c>
      <c r="Y26" s="718"/>
      <c r="Z26" s="718">
        <v>5</v>
      </c>
      <c r="AA26" s="718">
        <v>9</v>
      </c>
      <c r="AB26" s="718">
        <v>5</v>
      </c>
      <c r="AC26" s="794">
        <v>416.7403</v>
      </c>
      <c r="AD26" s="795">
        <v>7.88</v>
      </c>
    </row>
    <row r="27" spans="1:30" ht="21.75" customHeight="1">
      <c r="A27" s="340">
        <v>21</v>
      </c>
      <c r="B27" s="340" t="s">
        <v>280</v>
      </c>
      <c r="C27" s="340" t="s">
        <v>150</v>
      </c>
      <c r="D27" s="340"/>
      <c r="E27" s="340"/>
      <c r="F27" s="548">
        <v>6.4</v>
      </c>
      <c r="G27" s="340">
        <v>4.32</v>
      </c>
      <c r="H27" s="340">
        <f t="shared" si="2"/>
        <v>10.72</v>
      </c>
      <c r="I27" s="340">
        <v>1560</v>
      </c>
      <c r="J27" s="340">
        <v>12</v>
      </c>
      <c r="K27" s="340">
        <v>4845</v>
      </c>
      <c r="L27" s="340">
        <v>35</v>
      </c>
      <c r="M27" s="340">
        <f t="shared" si="3"/>
        <v>6405</v>
      </c>
      <c r="N27" s="340">
        <f t="shared" si="3"/>
        <v>47</v>
      </c>
      <c r="O27" s="340">
        <v>132</v>
      </c>
      <c r="P27" s="340">
        <v>132</v>
      </c>
      <c r="Q27" s="340"/>
      <c r="R27" s="340">
        <v>1</v>
      </c>
      <c r="S27" s="340"/>
      <c r="T27" s="340">
        <v>1</v>
      </c>
      <c r="U27" s="340"/>
      <c r="V27" s="340"/>
      <c r="W27" s="718"/>
      <c r="X27" s="718"/>
      <c r="Y27" s="718"/>
      <c r="Z27" s="718"/>
      <c r="AA27" s="718"/>
      <c r="AB27" s="718"/>
      <c r="AC27" s="796">
        <v>90.3229</v>
      </c>
      <c r="AD27" s="795">
        <v>4.1</v>
      </c>
    </row>
    <row r="28" spans="1:30" ht="21.75" customHeight="1">
      <c r="A28" s="340">
        <v>22</v>
      </c>
      <c r="B28" s="340" t="s">
        <v>281</v>
      </c>
      <c r="C28" s="340"/>
      <c r="D28" s="340" t="s">
        <v>150</v>
      </c>
      <c r="E28" s="340"/>
      <c r="F28" s="548">
        <v>60</v>
      </c>
      <c r="G28" s="340">
        <v>8.63</v>
      </c>
      <c r="H28" s="340">
        <f t="shared" si="2"/>
        <v>68.63</v>
      </c>
      <c r="I28" s="340">
        <v>570</v>
      </c>
      <c r="J28" s="340">
        <v>18</v>
      </c>
      <c r="K28" s="340">
        <v>9865</v>
      </c>
      <c r="L28" s="340">
        <v>39</v>
      </c>
      <c r="M28" s="340">
        <f t="shared" si="3"/>
        <v>10435</v>
      </c>
      <c r="N28" s="340">
        <f t="shared" si="3"/>
        <v>57</v>
      </c>
      <c r="O28" s="340">
        <v>171</v>
      </c>
      <c r="P28" s="340">
        <v>171</v>
      </c>
      <c r="Q28" s="340"/>
      <c r="R28" s="340">
        <v>1</v>
      </c>
      <c r="S28" s="340"/>
      <c r="T28" s="340">
        <v>1</v>
      </c>
      <c r="U28" s="340"/>
      <c r="V28" s="340"/>
      <c r="W28" s="718">
        <v>2</v>
      </c>
      <c r="X28" s="718">
        <v>24</v>
      </c>
      <c r="Y28" s="718"/>
      <c r="Z28" s="718">
        <v>9</v>
      </c>
      <c r="AA28" s="718">
        <v>10</v>
      </c>
      <c r="AB28" s="718">
        <v>9</v>
      </c>
      <c r="AC28" s="794">
        <v>220.5147</v>
      </c>
      <c r="AD28" s="795">
        <v>6.33</v>
      </c>
    </row>
    <row r="29" spans="1:30" ht="21.75" customHeight="1">
      <c r="A29" s="548">
        <v>23</v>
      </c>
      <c r="B29" s="785" t="s">
        <v>282</v>
      </c>
      <c r="C29" s="548"/>
      <c r="D29" s="548"/>
      <c r="E29" s="548" t="s">
        <v>150</v>
      </c>
      <c r="F29" s="548"/>
      <c r="G29" s="548">
        <v>24</v>
      </c>
      <c r="H29" s="548">
        <f t="shared" si="2"/>
        <v>24</v>
      </c>
      <c r="I29" s="548"/>
      <c r="J29" s="548"/>
      <c r="K29" s="548">
        <v>2000</v>
      </c>
      <c r="L29" s="548">
        <v>12</v>
      </c>
      <c r="M29" s="340">
        <f t="shared" si="3"/>
        <v>2000</v>
      </c>
      <c r="N29" s="340">
        <f t="shared" si="3"/>
        <v>12</v>
      </c>
      <c r="O29" s="548">
        <v>36</v>
      </c>
      <c r="P29" s="548">
        <v>36</v>
      </c>
      <c r="Q29" s="548"/>
      <c r="R29" s="548"/>
      <c r="S29" s="548"/>
      <c r="T29" s="548"/>
      <c r="U29" s="548"/>
      <c r="V29" s="548"/>
      <c r="W29" s="718"/>
      <c r="X29" s="718">
        <v>2</v>
      </c>
      <c r="Y29" s="718"/>
      <c r="Z29" s="718">
        <v>11</v>
      </c>
      <c r="AA29" s="718">
        <v>11</v>
      </c>
      <c r="AB29" s="718">
        <v>11</v>
      </c>
      <c r="AC29" s="794">
        <v>78.76</v>
      </c>
      <c r="AD29" s="795">
        <v>0</v>
      </c>
    </row>
    <row r="30" spans="1:30" ht="21.75" customHeight="1">
      <c r="A30" s="548">
        <v>24</v>
      </c>
      <c r="B30" s="785" t="s">
        <v>283</v>
      </c>
      <c r="C30" s="548"/>
      <c r="D30" s="548"/>
      <c r="E30" s="548" t="s">
        <v>150</v>
      </c>
      <c r="F30" s="548"/>
      <c r="G30" s="548">
        <v>8.8</v>
      </c>
      <c r="H30" s="548">
        <f t="shared" si="2"/>
        <v>8.8</v>
      </c>
      <c r="I30" s="548"/>
      <c r="J30" s="548"/>
      <c r="K30" s="548">
        <v>2835</v>
      </c>
      <c r="L30" s="548">
        <v>7</v>
      </c>
      <c r="M30" s="340">
        <f t="shared" si="3"/>
        <v>2835</v>
      </c>
      <c r="N30" s="340">
        <f t="shared" si="3"/>
        <v>7</v>
      </c>
      <c r="O30" s="548">
        <v>21</v>
      </c>
      <c r="P30" s="548">
        <v>21</v>
      </c>
      <c r="Q30" s="548"/>
      <c r="R30" s="548"/>
      <c r="S30" s="548"/>
      <c r="T30" s="548"/>
      <c r="U30" s="548"/>
      <c r="V30" s="548"/>
      <c r="W30" s="718"/>
      <c r="X30" s="718">
        <v>3</v>
      </c>
      <c r="Y30" s="718"/>
      <c r="Z30" s="718">
        <v>3</v>
      </c>
      <c r="AA30" s="718">
        <v>3</v>
      </c>
      <c r="AB30" s="718">
        <v>3</v>
      </c>
      <c r="AC30" s="794">
        <v>235.0223</v>
      </c>
      <c r="AD30" s="795">
        <v>0</v>
      </c>
    </row>
    <row r="31" spans="1:30" ht="21.75" customHeight="1">
      <c r="A31" s="548">
        <v>25</v>
      </c>
      <c r="B31" s="785" t="s">
        <v>284</v>
      </c>
      <c r="C31" s="548"/>
      <c r="D31" s="548"/>
      <c r="E31" s="548" t="s">
        <v>150</v>
      </c>
      <c r="F31" s="548"/>
      <c r="G31" s="548">
        <v>7</v>
      </c>
      <c r="H31" s="548">
        <f t="shared" si="2"/>
        <v>7</v>
      </c>
      <c r="I31" s="548"/>
      <c r="J31" s="548"/>
      <c r="K31" s="548">
        <v>3140</v>
      </c>
      <c r="L31" s="548">
        <v>5</v>
      </c>
      <c r="M31" s="340">
        <f t="shared" si="3"/>
        <v>3140</v>
      </c>
      <c r="N31" s="340">
        <f t="shared" si="3"/>
        <v>5</v>
      </c>
      <c r="O31" s="548">
        <v>15</v>
      </c>
      <c r="P31" s="548">
        <v>15</v>
      </c>
      <c r="Q31" s="548"/>
      <c r="R31" s="548"/>
      <c r="S31" s="548"/>
      <c r="T31" s="548"/>
      <c r="U31" s="548"/>
      <c r="V31" s="548"/>
      <c r="W31" s="718"/>
      <c r="X31" s="718">
        <v>4</v>
      </c>
      <c r="Y31" s="718"/>
      <c r="Z31" s="718">
        <v>4</v>
      </c>
      <c r="AA31" s="718">
        <v>4</v>
      </c>
      <c r="AB31" s="718">
        <v>4</v>
      </c>
      <c r="AC31" s="794">
        <v>367.1662</v>
      </c>
      <c r="AD31" s="795">
        <v>0</v>
      </c>
    </row>
    <row r="32" spans="1:30" ht="21.75" customHeight="1">
      <c r="A32" s="786">
        <v>26</v>
      </c>
      <c r="B32" s="785" t="s">
        <v>285</v>
      </c>
      <c r="C32" s="548"/>
      <c r="D32" s="548"/>
      <c r="E32" s="548" t="s">
        <v>150</v>
      </c>
      <c r="F32" s="548"/>
      <c r="G32" s="340">
        <v>14.59</v>
      </c>
      <c r="H32" s="340">
        <f t="shared" si="2"/>
        <v>14.59</v>
      </c>
      <c r="I32" s="340"/>
      <c r="J32" s="340"/>
      <c r="K32" s="340">
        <v>4055</v>
      </c>
      <c r="L32" s="340">
        <v>5</v>
      </c>
      <c r="M32" s="340">
        <f t="shared" si="3"/>
        <v>4055</v>
      </c>
      <c r="N32" s="340">
        <f t="shared" si="3"/>
        <v>5</v>
      </c>
      <c r="O32" s="340">
        <v>15</v>
      </c>
      <c r="P32" s="340">
        <v>15</v>
      </c>
      <c r="Q32" s="340"/>
      <c r="R32" s="340"/>
      <c r="S32" s="340"/>
      <c r="T32" s="340"/>
      <c r="U32" s="340"/>
      <c r="V32" s="340"/>
      <c r="W32" s="718"/>
      <c r="X32" s="718"/>
      <c r="Y32" s="718"/>
      <c r="Z32" s="718">
        <v>12</v>
      </c>
      <c r="AA32" s="718">
        <v>12</v>
      </c>
      <c r="AB32" s="718">
        <v>12</v>
      </c>
      <c r="AC32" s="794">
        <v>487.0602</v>
      </c>
      <c r="AD32" s="795">
        <v>0</v>
      </c>
    </row>
    <row r="33" spans="1:30" ht="15">
      <c r="A33" s="341" t="s">
        <v>122</v>
      </c>
      <c r="B33" s="335"/>
      <c r="C33" s="340"/>
      <c r="D33" s="340"/>
      <c r="E33" s="340"/>
      <c r="F33" s="340">
        <f>SUM(F7:F32)</f>
        <v>763.2499999999999</v>
      </c>
      <c r="G33" s="340">
        <f aca="true" t="shared" si="4" ref="G33:AC33">SUM(G7:G32)</f>
        <v>245.63999999999987</v>
      </c>
      <c r="H33" s="340">
        <f t="shared" si="4"/>
        <v>1008.8899999999999</v>
      </c>
      <c r="I33" s="340">
        <f t="shared" si="4"/>
        <v>26571.3</v>
      </c>
      <c r="J33" s="340">
        <f t="shared" si="4"/>
        <v>549</v>
      </c>
      <c r="K33" s="340">
        <f t="shared" si="4"/>
        <v>78419.9</v>
      </c>
      <c r="L33" s="340">
        <f t="shared" si="4"/>
        <v>653</v>
      </c>
      <c r="M33" s="340">
        <f t="shared" si="4"/>
        <v>104991.2</v>
      </c>
      <c r="N33" s="340">
        <f t="shared" si="4"/>
        <v>1202</v>
      </c>
      <c r="O33" s="340">
        <f t="shared" si="4"/>
        <v>3603</v>
      </c>
      <c r="P33" s="340">
        <f t="shared" si="4"/>
        <v>3603</v>
      </c>
      <c r="Q33" s="340">
        <f t="shared" si="4"/>
        <v>0</v>
      </c>
      <c r="R33" s="340">
        <f t="shared" si="4"/>
        <v>33</v>
      </c>
      <c r="S33" s="340">
        <f t="shared" si="4"/>
        <v>0</v>
      </c>
      <c r="T33" s="340">
        <f t="shared" si="4"/>
        <v>33</v>
      </c>
      <c r="U33" s="340">
        <f t="shared" si="4"/>
        <v>3600</v>
      </c>
      <c r="V33" s="340">
        <f t="shared" si="4"/>
        <v>6</v>
      </c>
      <c r="W33" s="340">
        <f t="shared" si="4"/>
        <v>348</v>
      </c>
      <c r="X33" s="340">
        <f t="shared" si="4"/>
        <v>828</v>
      </c>
      <c r="Y33" s="340">
        <f t="shared" si="4"/>
        <v>41</v>
      </c>
      <c r="Z33" s="340">
        <f t="shared" si="4"/>
        <v>122</v>
      </c>
      <c r="AA33" s="340">
        <f t="shared" si="4"/>
        <v>186</v>
      </c>
      <c r="AB33" s="340">
        <f t="shared" si="4"/>
        <v>128</v>
      </c>
      <c r="AC33" s="340">
        <f t="shared" si="4"/>
        <v>10792.572799999998</v>
      </c>
      <c r="AD33" s="340">
        <v>4.1</v>
      </c>
    </row>
    <row r="34" spans="1:30" ht="15">
      <c r="A34" s="341" t="s">
        <v>209</v>
      </c>
      <c r="B34" s="335"/>
      <c r="C34" s="344"/>
      <c r="D34" s="344"/>
      <c r="E34" s="344"/>
      <c r="F34" s="340">
        <f>F33</f>
        <v>763.2499999999999</v>
      </c>
      <c r="G34" s="340">
        <f aca="true" t="shared" si="5" ref="G34:AC34">G33</f>
        <v>245.63999999999987</v>
      </c>
      <c r="H34" s="340">
        <f t="shared" si="5"/>
        <v>1008.8899999999999</v>
      </c>
      <c r="I34" s="340">
        <f t="shared" si="5"/>
        <v>26571.3</v>
      </c>
      <c r="J34" s="340">
        <f t="shared" si="5"/>
        <v>549</v>
      </c>
      <c r="K34" s="340">
        <f t="shared" si="5"/>
        <v>78419.9</v>
      </c>
      <c r="L34" s="340">
        <f t="shared" si="5"/>
        <v>653</v>
      </c>
      <c r="M34" s="340">
        <f t="shared" si="5"/>
        <v>104991.2</v>
      </c>
      <c r="N34" s="340">
        <f t="shared" si="5"/>
        <v>1202</v>
      </c>
      <c r="O34" s="340">
        <f t="shared" si="5"/>
        <v>3603</v>
      </c>
      <c r="P34" s="340">
        <f t="shared" si="5"/>
        <v>3603</v>
      </c>
      <c r="Q34" s="340">
        <f t="shared" si="5"/>
        <v>0</v>
      </c>
      <c r="R34" s="340">
        <f t="shared" si="5"/>
        <v>33</v>
      </c>
      <c r="S34" s="340">
        <f t="shared" si="5"/>
        <v>0</v>
      </c>
      <c r="T34" s="340">
        <f t="shared" si="5"/>
        <v>33</v>
      </c>
      <c r="U34" s="340">
        <f t="shared" si="5"/>
        <v>3600</v>
      </c>
      <c r="V34" s="340">
        <f t="shared" si="5"/>
        <v>6</v>
      </c>
      <c r="W34" s="340">
        <f t="shared" si="5"/>
        <v>348</v>
      </c>
      <c r="X34" s="340">
        <f t="shared" si="5"/>
        <v>828</v>
      </c>
      <c r="Y34" s="340">
        <f t="shared" si="5"/>
        <v>41</v>
      </c>
      <c r="Z34" s="340">
        <f t="shared" si="5"/>
        <v>122</v>
      </c>
      <c r="AA34" s="340">
        <f t="shared" si="5"/>
        <v>186</v>
      </c>
      <c r="AB34" s="340">
        <f t="shared" si="5"/>
        <v>128</v>
      </c>
      <c r="AC34" s="718">
        <f t="shared" si="5"/>
        <v>10792.572799999998</v>
      </c>
      <c r="AD34" s="797">
        <v>4.1</v>
      </c>
    </row>
    <row r="35" spans="1:30" ht="15">
      <c r="A35" s="787"/>
      <c r="B35" s="788" t="s">
        <v>210</v>
      </c>
      <c r="C35" s="788" t="s">
        <v>286</v>
      </c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98"/>
      <c r="AD35" s="721"/>
    </row>
    <row r="36" spans="4:26" ht="23.25" customHeight="1">
      <c r="D36" s="294" t="s">
        <v>176</v>
      </c>
      <c r="G36" s="294" t="s">
        <v>287</v>
      </c>
      <c r="O36" s="294" t="s">
        <v>288</v>
      </c>
      <c r="Z36" s="294" t="s">
        <v>289</v>
      </c>
    </row>
    <row r="37" spans="4:5" ht="15">
      <c r="D37" s="661"/>
      <c r="E37" s="661"/>
    </row>
    <row r="38" spans="4:5" ht="15">
      <c r="D38" s="661"/>
      <c r="E38" s="661"/>
    </row>
  </sheetData>
  <sheetProtection/>
  <mergeCells count="23">
    <mergeCell ref="A1:AD1"/>
    <mergeCell ref="C3:E3"/>
    <mergeCell ref="F3:H3"/>
    <mergeCell ref="I3:N3"/>
    <mergeCell ref="Q3:T3"/>
    <mergeCell ref="U3:V3"/>
    <mergeCell ref="W3:Y3"/>
    <mergeCell ref="AA3:AB3"/>
    <mergeCell ref="A33:B33"/>
    <mergeCell ref="A34:B34"/>
    <mergeCell ref="C35:M35"/>
    <mergeCell ref="B3:B6"/>
    <mergeCell ref="C4:C6"/>
    <mergeCell ref="D4:D6"/>
    <mergeCell ref="E4:E6"/>
    <mergeCell ref="W4:W5"/>
    <mergeCell ref="AD5:AD6"/>
    <mergeCell ref="I4:J5"/>
    <mergeCell ref="K4:L5"/>
    <mergeCell ref="M4:N5"/>
    <mergeCell ref="U4:V5"/>
    <mergeCell ref="AA4:AB5"/>
    <mergeCell ref="F4:H5"/>
  </mergeCells>
  <printOptions horizontalCentered="1" verticalCentered="1"/>
  <pageMargins left="0.5895833333333333" right="0.42986111111111114" top="0.7298611111111111" bottom="0.7395833333333334" header="0.38958333333333334" footer="0.5097222222222222"/>
  <pageSetup horizontalDpi="600" verticalDpi="6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zou</cp:lastModifiedBy>
  <cp:lastPrinted>2013-01-15T06:23:57Z</cp:lastPrinted>
  <dcterms:created xsi:type="dcterms:W3CDTF">2009-01-06T06:54:30Z</dcterms:created>
  <dcterms:modified xsi:type="dcterms:W3CDTF">2021-10-11T16:37:55Z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E78497AF7C884379B8E374E1D2630A1E</vt:lpwstr>
  </property>
</Properties>
</file>